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DieseArbeitsmappe"/>
  <mc:AlternateContent xmlns:mc="http://schemas.openxmlformats.org/markup-compatibility/2006">
    <mc:Choice Requires="x15">
      <x15ac:absPath xmlns:x15ac="http://schemas.microsoft.com/office/spreadsheetml/2010/11/ac" url="C:\Users\alfre\OneDrive\Desktop\"/>
    </mc:Choice>
  </mc:AlternateContent>
  <xr:revisionPtr revIDLastSave="0" documentId="13_ncr:1_{BACAAB51-D366-48E3-963A-810FF2B43131}" xr6:coauthVersionLast="36" xr6:coauthVersionMax="36" xr10:uidLastSave="{00000000-0000-0000-0000-000000000000}"/>
  <bookViews>
    <workbookView xWindow="0" yWindow="0" windowWidth="18075" windowHeight="6780" tabRatio="743" activeTab="1" xr2:uid="{00000000-000D-0000-FFFF-FFFF00000000}"/>
  </bookViews>
  <sheets>
    <sheet name="Info" sheetId="1" r:id="rId1"/>
    <sheet name="Parameter" sheetId="2" r:id="rId2"/>
    <sheet name="Berechnung" sheetId="4" r:id="rId3"/>
    <sheet name="Jahresergebnis" sheetId="3" r:id="rId4"/>
    <sheet name="Kapitalwert" sheetId="5" r:id="rId5"/>
    <sheet name="Solarertrag" sheetId="7" r:id="rId6"/>
    <sheet name="Vergütung" sheetId="8" r:id="rId7"/>
    <sheet name="Änderungen" sheetId="9" r:id="rId8"/>
  </sheets>
  <definedNames>
    <definedName name="Anlagenleistung">Parameter!$B$18</definedName>
    <definedName name="Anlagenpreis">Parameter!$B$37</definedName>
    <definedName name="AnlagenpreisPV">Parameter!$B$19</definedName>
    <definedName name="Auszahlung1">Parameter!$B$42</definedName>
    <definedName name="BatteriespeicherJN">Parameter!$B$21</definedName>
    <definedName name="BatterieVerluste">Parameter!$B$32</definedName>
    <definedName name="Bereitstellung1">Parameter!$B$43</definedName>
    <definedName name="Dachmiete">Parameter!$B$26</definedName>
    <definedName name="Direktnutzung">Parameter!$B$30</definedName>
    <definedName name="Direktnutzung_Batteriespeicher">Parameter!$B$31</definedName>
    <definedName name="Direktnutzung_Speicher">Parameter!$B$31</definedName>
    <definedName name="Direktvermarktung">Parameter!$B$55</definedName>
    <definedName name="_xlnm.Print_Area" localSheetId="2">Berechnung!$A$5:$AC$28</definedName>
    <definedName name="_xlnm.Print_Area" localSheetId="1">Parameter!$A$1:$H$74</definedName>
    <definedName name="EEG_Umlage_Anteil">Parameter!$B$75</definedName>
    <definedName name="EEG_Vergütung">Parameter!$B$38</definedName>
    <definedName name="eegSatz2013">Vergütung!$B$3</definedName>
    <definedName name="eegSatz2014">Vergütung!$B$4</definedName>
    <definedName name="eegSatz2015">Vergütung!$B$5</definedName>
    <definedName name="EEGSatz2016">Vergütung!$B$6</definedName>
    <definedName name="eegSatz2017">Vergütung!$B$7</definedName>
    <definedName name="eegSatz2018">Vergütung!$B$8</definedName>
    <definedName name="EEGSatz2019">Vergütung!$B$9</definedName>
    <definedName name="eegSatz2020">Vergütung!$B$10</definedName>
    <definedName name="eegUmlage">Parameter!$D$74</definedName>
    <definedName name="eegUmlageAnteil">Parameter!$B$75</definedName>
    <definedName name="EigenkapitalZuAnfang">Parameter!$B$15</definedName>
    <definedName name="Eigennutzung">Parameter!$B$30</definedName>
    <definedName name="Eigennutzung_brutto">Berechnung!$H$2</definedName>
    <definedName name="Eigennutzung_netto">Berechnung!$H$3</definedName>
    <definedName name="EigennutzungSpeicher">Parameter!$B$31</definedName>
    <definedName name="Einspeisetarif">Parameter!#REF!</definedName>
    <definedName name="Ertragsminderung">Parameter!$B$28</definedName>
    <definedName name="Gewerbe">Parameter!$B$67</definedName>
    <definedName name="Grundgebühr">Parameter!$B$62</definedName>
    <definedName name="IBNJahr">Parameter!$B$34</definedName>
    <definedName name="IBNMonat">Parameter!$B$35</definedName>
    <definedName name="Inflationsrate">Parameter!$B$58</definedName>
    <definedName name="InternerZinsfussQ">Berechnung!$AB$31</definedName>
    <definedName name="Investitionsabzug">Parameter!$B$70</definedName>
    <definedName name="Jahre">Parameter!#REF!</definedName>
    <definedName name="Kapitalwert">Parameter!$B$14</definedName>
    <definedName name="Kleinunternehmer">Parameter!$B$56</definedName>
    <definedName name="Kredit1">Parameter!$B$41</definedName>
    <definedName name="Kredit2">Parameter!$B$49</definedName>
    <definedName name="KU_Umstellung">Parameter!$B$57</definedName>
    <definedName name="KUR">Parameter!$B$57</definedName>
    <definedName name="kWp">Parameter!$B$18</definedName>
    <definedName name="Ladeverluste">Parameter!$B$32</definedName>
    <definedName name="Laufzeit1">Parameter!$B$45</definedName>
    <definedName name="Laufzeit2">Parameter!$B$51</definedName>
    <definedName name="Leistung">Parameter!$B$18</definedName>
    <definedName name="LfdKosten">Parameter!$B$25</definedName>
    <definedName name="MwSt">Parameter!$B$67</definedName>
    <definedName name="MwSt_Satz">Parameter!$B$73</definedName>
    <definedName name="ProgVersion">Parameter!$A$2</definedName>
    <definedName name="Solarertrag1">Parameter!$D$35</definedName>
    <definedName name="Sonderabschreibung">Parameter!$B$71</definedName>
    <definedName name="Speicherdegradation">Parameter!$B$33</definedName>
    <definedName name="Steuerbefreiung">Parameter!$B$54</definedName>
    <definedName name="Steuersatz1">Parameter!$B$68</definedName>
    <definedName name="Steuersatz2">Parameter!$B$69</definedName>
    <definedName name="StromerlösDirektvermarktung">Parameter!$B$65</definedName>
    <definedName name="Stromertrag">Parameter!$B$27</definedName>
    <definedName name="StrompreisNetto">Parameter!$B$63</definedName>
    <definedName name="Strompreissteigerung">Parameter!$B$64</definedName>
    <definedName name="Stromverbrauch">Parameter!$B$61</definedName>
    <definedName name="Tilgungsfrei1">Parameter!$B$47</definedName>
    <definedName name="Tilgungsfrei2">Parameter!#REF!</definedName>
    <definedName name="Umstellung_KUR">Parameter!$B$57</definedName>
    <definedName name="Vergütung2018">Vergütung!$B$8</definedName>
    <definedName name="Volleinspeisung">Parameter!$B$29</definedName>
    <definedName name="Vorlaufkosten">Parameter!$B$24</definedName>
    <definedName name="Zinsbindung1">Parameter!$B$46</definedName>
    <definedName name="Zinssatz1">Parameter!$B$44</definedName>
    <definedName name="Zinssatz1NachZinsbindung">Parameter!$B$48</definedName>
    <definedName name="Zinssatz2">Parameter!$B$50</definedName>
    <definedName name="ZinssatzBarwert">Parameter!$B$59</definedName>
    <definedName name="ZinssatzWiederanlage">Parameter!$B$60</definedName>
    <definedName name="ZusatzkostenBatterie">Parameter!$B$22</definedName>
    <definedName name="Zuschuss_PV_Anlage">Parameter!$B$20</definedName>
    <definedName name="ZuschussBatterie">Parameter!$B$23</definedName>
  </definedNames>
  <calcPr calcId="191029"/>
  <customWorkbookViews>
    <customWorkbookView name="Alfred Körblein - Persönliche Ansicht" guid="{36051EDE-EE05-46A8-9481-5CD2E0A132E3}" mergeInterval="0" personalView="1" maximized="1" windowWidth="1020" windowHeight="566" activeSheetId="3"/>
  </customWorkbookViews>
</workbook>
</file>

<file path=xl/calcChain.xml><?xml version="1.0" encoding="utf-8"?>
<calcChain xmlns="http://schemas.openxmlformats.org/spreadsheetml/2006/main">
  <c r="L10" i="4" l="1"/>
  <c r="L11" i="4"/>
  <c r="L12" i="4"/>
  <c r="L13" i="4"/>
  <c r="L14" i="4"/>
  <c r="L15" i="4"/>
  <c r="L16" i="4"/>
  <c r="L17" i="4"/>
  <c r="L18" i="4"/>
  <c r="L19" i="4"/>
  <c r="L20" i="4"/>
  <c r="L21" i="4"/>
  <c r="L22" i="4"/>
  <c r="L23" i="4"/>
  <c r="L24" i="4"/>
  <c r="L25" i="4"/>
  <c r="L26" i="4"/>
  <c r="L27" i="4"/>
  <c r="L28" i="4"/>
  <c r="L9" i="4"/>
  <c r="T4" i="4"/>
  <c r="B73" i="2" l="1"/>
  <c r="K9" i="4"/>
  <c r="K10" i="4"/>
  <c r="K11" i="4"/>
  <c r="K12" i="4"/>
  <c r="K13" i="4"/>
  <c r="K14" i="4"/>
  <c r="K15" i="4"/>
  <c r="K16" i="4"/>
  <c r="K17" i="4"/>
  <c r="K18" i="4"/>
  <c r="K19" i="4"/>
  <c r="K20" i="4"/>
  <c r="K21" i="4"/>
  <c r="K22" i="4"/>
  <c r="K23" i="4"/>
  <c r="K24" i="4"/>
  <c r="K25" i="4"/>
  <c r="K26" i="4"/>
  <c r="K27" i="4"/>
  <c r="K28" i="4"/>
  <c r="Y7" i="4"/>
  <c r="B15" i="2"/>
  <c r="C8" i="4" l="1"/>
  <c r="K8" i="4" s="1"/>
  <c r="U17" i="8" l="1"/>
  <c r="U18" i="8" s="1"/>
  <c r="U19" i="8" s="1"/>
  <c r="U20" i="8" s="1"/>
  <c r="U21" i="8" s="1"/>
  <c r="U22" i="8" s="1"/>
  <c r="U23" i="8" s="1"/>
  <c r="U24" i="8" s="1"/>
  <c r="U25" i="8" s="1"/>
  <c r="U26" i="8" s="1"/>
  <c r="U27" i="8" s="1"/>
  <c r="B63" i="2" l="1"/>
  <c r="E79" i="2"/>
  <c r="E80" i="2" s="1"/>
  <c r="E81" i="2" s="1"/>
  <c r="E82" i="2" s="1"/>
  <c r="E83" i="2" s="1"/>
  <c r="E84" i="2" l="1"/>
  <c r="E85" i="2" s="1"/>
  <c r="E86" i="2" s="1"/>
  <c r="E87" i="2" s="1"/>
  <c r="E88" i="2" s="1"/>
  <c r="D74" i="2"/>
  <c r="F38" i="2"/>
  <c r="T23" i="8"/>
  <c r="D9" i="4" l="1"/>
  <c r="D10" i="4"/>
  <c r="D11" i="4"/>
  <c r="D12" i="4"/>
  <c r="D13" i="4"/>
  <c r="D14" i="4"/>
  <c r="D15" i="4"/>
  <c r="D16" i="4"/>
  <c r="D17" i="4"/>
  <c r="D18" i="4"/>
  <c r="D19" i="4"/>
  <c r="D20" i="4"/>
  <c r="D21" i="4"/>
  <c r="D22" i="4"/>
  <c r="D23" i="4"/>
  <c r="D24" i="4"/>
  <c r="D25" i="4"/>
  <c r="D26" i="4"/>
  <c r="D27" i="4"/>
  <c r="D28" i="4"/>
  <c r="D8" i="4" l="1"/>
  <c r="B74" i="2" l="1"/>
  <c r="T24" i="8" l="1"/>
  <c r="T25" i="8" s="1"/>
  <c r="T26" i="8" s="1"/>
  <c r="T27" i="8" s="1"/>
  <c r="V16" i="8" s="1"/>
  <c r="V17" i="8" s="1"/>
  <c r="V18" i="8" l="1"/>
  <c r="V19" i="8" s="1"/>
  <c r="V20" i="8" s="1"/>
  <c r="V21" i="8" s="1"/>
  <c r="V22" i="8" s="1"/>
  <c r="V23" i="8" s="1"/>
  <c r="V24" i="8" s="1"/>
  <c r="V25" i="8" s="1"/>
  <c r="V26" i="8" s="1"/>
  <c r="V27" i="8" s="1"/>
  <c r="B13" i="8"/>
  <c r="B38" i="2" s="1"/>
  <c r="U7" i="4" l="1"/>
  <c r="U8" i="4" s="1"/>
  <c r="Q24" i="4"/>
  <c r="Q25" i="4"/>
  <c r="Q26" i="4"/>
  <c r="Q27" i="4"/>
  <c r="Q28" i="4"/>
  <c r="S17" i="8"/>
  <c r="S18" i="8"/>
  <c r="S19" i="8"/>
  <c r="S20" i="8"/>
  <c r="S21" i="8"/>
  <c r="S22" i="8"/>
  <c r="S23" i="8"/>
  <c r="S24" i="8"/>
  <c r="S25" i="8"/>
  <c r="S26" i="8"/>
  <c r="S27" i="8"/>
  <c r="A16" i="9"/>
  <c r="R22" i="8"/>
  <c r="R23" i="8" s="1"/>
  <c r="R21" i="8"/>
  <c r="R20" i="8"/>
  <c r="I9" i="4"/>
  <c r="I10" i="4"/>
  <c r="I11" i="4"/>
  <c r="I12" i="4"/>
  <c r="I13" i="4"/>
  <c r="I14" i="4"/>
  <c r="I15" i="4"/>
  <c r="I16" i="4"/>
  <c r="I17" i="4"/>
  <c r="I18" i="4"/>
  <c r="I19" i="4"/>
  <c r="I20" i="4"/>
  <c r="I21" i="4"/>
  <c r="I22" i="4"/>
  <c r="I23" i="4"/>
  <c r="I24" i="4"/>
  <c r="I25" i="4"/>
  <c r="I26" i="4"/>
  <c r="I27" i="4"/>
  <c r="I28" i="4"/>
  <c r="I8" i="4"/>
  <c r="R19" i="8"/>
  <c r="R17" i="8"/>
  <c r="R18" i="8"/>
  <c r="R16" i="8"/>
  <c r="B75" i="2"/>
  <c r="Q17" i="8"/>
  <c r="Q18" i="8" s="1"/>
  <c r="Q19" i="8" s="1"/>
  <c r="Q20" i="8" s="1"/>
  <c r="Q21" i="8" s="1"/>
  <c r="Q22" i="8" s="1"/>
  <c r="Q23" i="8" s="1"/>
  <c r="Q24" i="8" s="1"/>
  <c r="Q25" i="8" s="1"/>
  <c r="Q26" i="8" s="1"/>
  <c r="Q27" i="8" s="1"/>
  <c r="A3" i="9"/>
  <c r="A4" i="9"/>
  <c r="P22" i="8"/>
  <c r="P23" i="8" s="1"/>
  <c r="P24" i="8" s="1"/>
  <c r="P25" i="8" s="1"/>
  <c r="P26" i="8" s="1"/>
  <c r="P27" i="8" s="1"/>
  <c r="P21" i="8"/>
  <c r="P20" i="8"/>
  <c r="P19" i="8"/>
  <c r="P18" i="8"/>
  <c r="P17" i="8"/>
  <c r="P16" i="8"/>
  <c r="P7" i="4"/>
  <c r="O12" i="4" s="1"/>
  <c r="O17" i="8"/>
  <c r="O18" i="8"/>
  <c r="O19" i="8" s="1"/>
  <c r="O20" i="8" s="1"/>
  <c r="O21" i="8" s="1"/>
  <c r="O22" i="8" s="1"/>
  <c r="O23" i="8" s="1"/>
  <c r="O24" i="8" s="1"/>
  <c r="O25" i="8" s="1"/>
  <c r="O26" i="8" s="1"/>
  <c r="O27" i="8" s="1"/>
  <c r="N25" i="8"/>
  <c r="N26" i="8" s="1"/>
  <c r="N27" i="8" s="1"/>
  <c r="N24" i="8"/>
  <c r="N23" i="8"/>
  <c r="N22" i="8"/>
  <c r="N21" i="8"/>
  <c r="N20" i="8"/>
  <c r="N19" i="8"/>
  <c r="N18" i="8"/>
  <c r="N17" i="8"/>
  <c r="F9" i="4"/>
  <c r="F10" i="4"/>
  <c r="F11" i="4"/>
  <c r="F12" i="4"/>
  <c r="F13" i="4"/>
  <c r="F14" i="4"/>
  <c r="F15" i="4"/>
  <c r="F16" i="4"/>
  <c r="F17" i="4"/>
  <c r="F18" i="4"/>
  <c r="F19" i="4"/>
  <c r="F20" i="4"/>
  <c r="F21" i="4"/>
  <c r="F22" i="4"/>
  <c r="F23" i="4"/>
  <c r="F24" i="4"/>
  <c r="F25" i="4"/>
  <c r="F26" i="4"/>
  <c r="F27" i="4"/>
  <c r="F28" i="4"/>
  <c r="F8" i="4"/>
  <c r="L27" i="8"/>
  <c r="L26" i="8"/>
  <c r="L25" i="8"/>
  <c r="L24" i="8"/>
  <c r="L23" i="8"/>
  <c r="L16" i="8"/>
  <c r="L17" i="8" s="1"/>
  <c r="L18" i="8" s="1"/>
  <c r="L19" i="8" s="1"/>
  <c r="L20" i="8" s="1"/>
  <c r="N16" i="8"/>
  <c r="J16" i="8"/>
  <c r="J17" i="8" s="1"/>
  <c r="J18" i="8" s="1"/>
  <c r="J19" i="8" s="1"/>
  <c r="J20" i="8" s="1"/>
  <c r="H16" i="8"/>
  <c r="H17" i="8" s="1"/>
  <c r="H18" i="8" s="1"/>
  <c r="H19" i="8" s="1"/>
  <c r="H20" i="8" s="1"/>
  <c r="H21" i="8" s="1"/>
  <c r="M17" i="8"/>
  <c r="M18" i="8"/>
  <c r="M19" i="8" s="1"/>
  <c r="M20" i="8" s="1"/>
  <c r="M21" i="8" s="1"/>
  <c r="M22" i="8" s="1"/>
  <c r="M23" i="8" s="1"/>
  <c r="M24" i="8" s="1"/>
  <c r="M25" i="8" s="1"/>
  <c r="M26" i="8" s="1"/>
  <c r="M27" i="8" s="1"/>
  <c r="B16" i="8"/>
  <c r="B17" i="8" s="1"/>
  <c r="D16" i="8"/>
  <c r="D17" i="8" s="1"/>
  <c r="D18" i="8" s="1"/>
  <c r="D19" i="8" s="1"/>
  <c r="D20" i="8" s="1"/>
  <c r="D21" i="8" s="1"/>
  <c r="F16" i="8"/>
  <c r="F17" i="8" s="1"/>
  <c r="F18" i="8" s="1"/>
  <c r="F19" i="8" s="1"/>
  <c r="F20" i="8" s="1"/>
  <c r="A17" i="8"/>
  <c r="A18" i="8"/>
  <c r="A19" i="8"/>
  <c r="A20" i="8"/>
  <c r="A21" i="8"/>
  <c r="C17" i="8"/>
  <c r="E17" i="8"/>
  <c r="E18" i="8"/>
  <c r="E19" i="8"/>
  <c r="E20" i="8"/>
  <c r="E21" i="8"/>
  <c r="G17" i="8"/>
  <c r="G18" i="8"/>
  <c r="G19" i="8"/>
  <c r="G20" i="8" s="1"/>
  <c r="G21" i="8" s="1"/>
  <c r="G22" i="8" s="1"/>
  <c r="G23" i="8" s="1"/>
  <c r="G24" i="8" s="1"/>
  <c r="G25" i="8" s="1"/>
  <c r="G26" i="8" s="1"/>
  <c r="G27" i="8" s="1"/>
  <c r="I17" i="8"/>
  <c r="I18" i="8"/>
  <c r="I19" i="8" s="1"/>
  <c r="I20" i="8" s="1"/>
  <c r="I21" i="8" s="1"/>
  <c r="I22" i="8" s="1"/>
  <c r="I23" i="8" s="1"/>
  <c r="I24" i="8" s="1"/>
  <c r="I25" i="8" s="1"/>
  <c r="I26" i="8" s="1"/>
  <c r="I27" i="8" s="1"/>
  <c r="K17" i="8"/>
  <c r="Y17" i="8"/>
  <c r="Y18" i="8"/>
  <c r="Y19" i="8"/>
  <c r="Y20" i="8"/>
  <c r="Y21" i="8"/>
  <c r="AA17" i="8"/>
  <c r="AA18" i="8"/>
  <c r="AA19" i="8"/>
  <c r="AA20" i="8"/>
  <c r="AA21" i="8"/>
  <c r="AC17" i="8"/>
  <c r="AC18" i="8"/>
  <c r="AC19" i="8"/>
  <c r="AC20" i="8"/>
  <c r="AC21" i="8"/>
  <c r="C18" i="8"/>
  <c r="C19" i="8"/>
  <c r="C20" i="8"/>
  <c r="C21" i="8"/>
  <c r="K18" i="8"/>
  <c r="K19" i="8" s="1"/>
  <c r="K20" i="8" s="1"/>
  <c r="K21" i="8" s="1"/>
  <c r="K22" i="8" s="1"/>
  <c r="K23" i="8" s="1"/>
  <c r="K24" i="8" s="1"/>
  <c r="K25" i="8" s="1"/>
  <c r="K26" i="8" s="1"/>
  <c r="K27" i="8" s="1"/>
  <c r="E2" i="7"/>
  <c r="E3" i="7"/>
  <c r="D3" i="7"/>
  <c r="E4" i="7"/>
  <c r="D4" i="7"/>
  <c r="E5" i="7"/>
  <c r="D5" i="7"/>
  <c r="E6" i="7"/>
  <c r="E7" i="7"/>
  <c r="E8" i="7"/>
  <c r="E9" i="7"/>
  <c r="D9" i="7"/>
  <c r="E10" i="7"/>
  <c r="E11" i="7"/>
  <c r="E12" i="7"/>
  <c r="D12" i="7"/>
  <c r="E13" i="7"/>
  <c r="D13" i="7"/>
  <c r="B14" i="7"/>
  <c r="A1" i="4"/>
  <c r="A2" i="4"/>
  <c r="B8" i="4"/>
  <c r="B9" i="4" s="1"/>
  <c r="B10" i="4" s="1"/>
  <c r="B11" i="4" s="1"/>
  <c r="B12" i="4" s="1"/>
  <c r="B13" i="4" s="1"/>
  <c r="B14" i="4" s="1"/>
  <c r="B15" i="4" s="1"/>
  <c r="B16" i="4" s="1"/>
  <c r="B17" i="4" s="1"/>
  <c r="B18" i="4" s="1"/>
  <c r="B19" i="4" s="1"/>
  <c r="B20" i="4" s="1"/>
  <c r="B21" i="4" s="1"/>
  <c r="B22" i="4" s="1"/>
  <c r="B23" i="4" s="1"/>
  <c r="B24" i="4" s="1"/>
  <c r="B25" i="4" s="1"/>
  <c r="B26" i="4" s="1"/>
  <c r="B27" i="4" s="1"/>
  <c r="B28" i="4" s="1"/>
  <c r="M8" i="4"/>
  <c r="M9" i="4" s="1"/>
  <c r="M10" i="4" s="1"/>
  <c r="M11" i="4" s="1"/>
  <c r="M12" i="4" s="1"/>
  <c r="O8" i="4"/>
  <c r="C9" i="4"/>
  <c r="AF9" i="4" s="1"/>
  <c r="O9" i="4"/>
  <c r="C10" i="4"/>
  <c r="AF10" i="4" s="1"/>
  <c r="C11" i="4"/>
  <c r="AF11" i="4" s="1"/>
  <c r="C12" i="4"/>
  <c r="AF12" i="4" s="1"/>
  <c r="C13" i="4"/>
  <c r="C14" i="4"/>
  <c r="C15" i="4"/>
  <c r="C16" i="4"/>
  <c r="AF16" i="4" s="1"/>
  <c r="C17" i="4"/>
  <c r="C18" i="4"/>
  <c r="C19" i="4"/>
  <c r="O19" i="4"/>
  <c r="C20" i="4"/>
  <c r="AF20" i="4" s="1"/>
  <c r="O20" i="4"/>
  <c r="C21" i="4"/>
  <c r="AF21" i="4" s="1"/>
  <c r="O21" i="4"/>
  <c r="C22" i="4"/>
  <c r="O22" i="4"/>
  <c r="C23" i="4"/>
  <c r="O23" i="4"/>
  <c r="C24" i="4"/>
  <c r="O24" i="4"/>
  <c r="C25" i="4"/>
  <c r="O25" i="4"/>
  <c r="C26" i="4"/>
  <c r="AF26" i="4" s="1"/>
  <c r="O26" i="4"/>
  <c r="C27" i="4"/>
  <c r="O27" i="4"/>
  <c r="C28" i="4"/>
  <c r="AF28" i="4" s="1"/>
  <c r="O28" i="4"/>
  <c r="D19" i="2"/>
  <c r="E63" i="2"/>
  <c r="H79" i="2"/>
  <c r="H80" i="2" s="1"/>
  <c r="H81" i="2" s="1"/>
  <c r="H82" i="2" s="1"/>
  <c r="H83" i="2" s="1"/>
  <c r="H84" i="2" s="1"/>
  <c r="H85" i="2" s="1"/>
  <c r="H86" i="2" s="1"/>
  <c r="H87" i="2" s="1"/>
  <c r="H88" i="2" s="1"/>
  <c r="H89" i="2" s="1"/>
  <c r="A2" i="1"/>
  <c r="D2" i="7"/>
  <c r="D10" i="7"/>
  <c r="D8" i="7"/>
  <c r="W12" i="4"/>
  <c r="W8" i="4"/>
  <c r="E22" i="8"/>
  <c r="E23" i="8"/>
  <c r="E24" i="8"/>
  <c r="E25" i="8"/>
  <c r="E26" i="8"/>
  <c r="E27" i="8"/>
  <c r="Y22" i="8"/>
  <c r="Y4" i="8"/>
  <c r="A22" i="8"/>
  <c r="A23" i="8"/>
  <c r="A24" i="8"/>
  <c r="A25" i="8"/>
  <c r="A26" i="8"/>
  <c r="A27" i="8"/>
  <c r="C22" i="8"/>
  <c r="C23" i="8"/>
  <c r="C24" i="8"/>
  <c r="C25" i="8"/>
  <c r="C26" i="8"/>
  <c r="C27" i="8"/>
  <c r="AC4" i="8"/>
  <c r="AC22" i="8"/>
  <c r="AC23" i="8"/>
  <c r="AC24" i="8"/>
  <c r="AC25" i="8"/>
  <c r="AC26" i="8"/>
  <c r="AC27" i="8"/>
  <c r="AA22" i="8"/>
  <c r="AA23" i="8"/>
  <c r="AA24" i="8"/>
  <c r="AA25" i="8"/>
  <c r="AA26" i="8"/>
  <c r="AA27" i="8"/>
  <c r="D7" i="7"/>
  <c r="AF8" i="4"/>
  <c r="D6" i="7"/>
  <c r="Y23" i="8"/>
  <c r="Y24" i="8"/>
  <c r="Y25" i="8"/>
  <c r="Y26" i="8"/>
  <c r="Y27" i="8"/>
  <c r="D11" i="7"/>
  <c r="AA4" i="8"/>
  <c r="B24" i="2"/>
  <c r="L8" i="4" s="1"/>
  <c r="X8" i="4"/>
  <c r="B37" i="2"/>
  <c r="Q11" i="4"/>
  <c r="Q13" i="4"/>
  <c r="Q15" i="4"/>
  <c r="Q17" i="4"/>
  <c r="Q19" i="4"/>
  <c r="Q21" i="4"/>
  <c r="Q23" i="4"/>
  <c r="T7" i="4"/>
  <c r="Q12" i="4"/>
  <c r="Q16" i="4"/>
  <c r="Q20" i="4"/>
  <c r="Q9" i="4"/>
  <c r="Q10" i="4"/>
  <c r="Q14" i="4"/>
  <c r="Q18" i="4"/>
  <c r="Q22" i="4"/>
  <c r="Z7" i="4" l="1"/>
  <c r="AA7" i="4" s="1"/>
  <c r="AB7" i="4" s="1"/>
  <c r="AC7" i="4" s="1"/>
  <c r="B18" i="8"/>
  <c r="B19" i="8" s="1"/>
  <c r="B20" i="8" s="1"/>
  <c r="B3" i="8"/>
  <c r="O18" i="4"/>
  <c r="E14" i="4"/>
  <c r="H14" i="4" s="1"/>
  <c r="O16" i="4"/>
  <c r="O13" i="4"/>
  <c r="O11" i="4"/>
  <c r="O29" i="4" s="1"/>
  <c r="E17" i="4"/>
  <c r="H17" i="4" s="1"/>
  <c r="O10" i="4"/>
  <c r="O15" i="4"/>
  <c r="E10" i="4"/>
  <c r="H10" i="4" s="1"/>
  <c r="E28" i="4"/>
  <c r="H28" i="4" s="1"/>
  <c r="AF14" i="4"/>
  <c r="X22" i="8"/>
  <c r="P8" i="4"/>
  <c r="P9" i="4" s="1"/>
  <c r="O14" i="4"/>
  <c r="B11" i="8"/>
  <c r="E11" i="4"/>
  <c r="H11" i="4" s="1"/>
  <c r="O17" i="4"/>
  <c r="N8" i="4"/>
  <c r="E21" i="4"/>
  <c r="H21" i="4" s="1"/>
  <c r="AE9" i="4"/>
  <c r="AE11" i="4"/>
  <c r="AE12" i="4"/>
  <c r="AE10" i="4"/>
  <c r="E26" i="4"/>
  <c r="H26" i="4" s="1"/>
  <c r="X23" i="8"/>
  <c r="R24" i="8"/>
  <c r="AF17" i="4"/>
  <c r="X17" i="8"/>
  <c r="X21" i="8"/>
  <c r="Y8" i="4"/>
  <c r="X9" i="4" s="1"/>
  <c r="Y9" i="4" s="1"/>
  <c r="I29" i="4"/>
  <c r="D41" i="2"/>
  <c r="W29" i="4"/>
  <c r="F21" i="8"/>
  <c r="F22" i="8" s="1"/>
  <c r="F23" i="8" s="1"/>
  <c r="F24" i="8" s="1"/>
  <c r="F25" i="8" s="1"/>
  <c r="F26" i="8" s="1"/>
  <c r="F27" i="8" s="1"/>
  <c r="H22" i="8"/>
  <c r="H23" i="8" s="1"/>
  <c r="H24" i="8" s="1"/>
  <c r="H25" i="8" s="1"/>
  <c r="H26" i="8" s="1"/>
  <c r="H27" i="8" s="1"/>
  <c r="D22" i="8"/>
  <c r="D23" i="8" s="1"/>
  <c r="D24" i="8" s="1"/>
  <c r="D25" i="8" s="1"/>
  <c r="D26" i="8" s="1"/>
  <c r="D27" i="8" s="1"/>
  <c r="AF18" i="4"/>
  <c r="E24" i="4"/>
  <c r="H24" i="4" s="1"/>
  <c r="E20" i="4"/>
  <c r="H20" i="4" s="1"/>
  <c r="E12" i="4"/>
  <c r="H12" i="4" s="1"/>
  <c r="B9" i="8"/>
  <c r="X18" i="8"/>
  <c r="E25" i="4"/>
  <c r="H25" i="4" s="1"/>
  <c r="E18" i="4"/>
  <c r="H18" i="4" s="1"/>
  <c r="AF23" i="4"/>
  <c r="AF24" i="4"/>
  <c r="AF22" i="4"/>
  <c r="AF25" i="4"/>
  <c r="E22" i="4"/>
  <c r="H22" i="4" s="1"/>
  <c r="AF15" i="4"/>
  <c r="B10" i="8"/>
  <c r="E23" i="4"/>
  <c r="H23" i="4" s="1"/>
  <c r="E8" i="4"/>
  <c r="H8" i="4" s="1"/>
  <c r="E16" i="4"/>
  <c r="H16" i="4" s="1"/>
  <c r="E9" i="4"/>
  <c r="R8" i="4"/>
  <c r="T8" i="4"/>
  <c r="Q29" i="4"/>
  <c r="L21" i="8"/>
  <c r="L22" i="8" s="1"/>
  <c r="B8" i="8" s="1"/>
  <c r="M13" i="4"/>
  <c r="M14" i="4" s="1"/>
  <c r="M15" i="4" s="1"/>
  <c r="M16" i="4" s="1"/>
  <c r="M17" i="4" s="1"/>
  <c r="M18" i="4" s="1"/>
  <c r="M19" i="4" s="1"/>
  <c r="M20" i="4" s="1"/>
  <c r="E19" i="4"/>
  <c r="H19" i="4" s="1"/>
  <c r="C29" i="4"/>
  <c r="AF19" i="4"/>
  <c r="B21" i="8"/>
  <c r="B22" i="8" s="1"/>
  <c r="B23" i="8" s="1"/>
  <c r="B24" i="8" s="1"/>
  <c r="B25" i="8" s="1"/>
  <c r="B26" i="8" s="1"/>
  <c r="B27" i="8" s="1"/>
  <c r="AF27" i="4"/>
  <c r="E27" i="4"/>
  <c r="H27" i="4" s="1"/>
  <c r="E15" i="4"/>
  <c r="H15" i="4" s="1"/>
  <c r="AF13" i="4"/>
  <c r="E13" i="4"/>
  <c r="H13" i="4" s="1"/>
  <c r="J21" i="8"/>
  <c r="J22" i="8" s="1"/>
  <c r="J23" i="8" s="1"/>
  <c r="J24" i="8" s="1"/>
  <c r="J25" i="8" s="1"/>
  <c r="J26" i="8" s="1"/>
  <c r="J27" i="8" s="1"/>
  <c r="X19" i="8"/>
  <c r="X20" i="8"/>
  <c r="V8" i="4" l="1"/>
  <c r="N9" i="4"/>
  <c r="J9" i="4"/>
  <c r="H9" i="4"/>
  <c r="J8" i="4"/>
  <c r="J27" i="4"/>
  <c r="J22" i="4"/>
  <c r="J11" i="4"/>
  <c r="J23" i="4"/>
  <c r="J18" i="4"/>
  <c r="J12" i="4"/>
  <c r="J21" i="4"/>
  <c r="J28" i="4"/>
  <c r="J19" i="4"/>
  <c r="J13" i="4"/>
  <c r="J15" i="4"/>
  <c r="J16" i="4"/>
  <c r="J25" i="4"/>
  <c r="J20" i="4"/>
  <c r="J10" i="4"/>
  <c r="J24" i="4"/>
  <c r="J26" i="4"/>
  <c r="J17" i="4"/>
  <c r="J14" i="4"/>
  <c r="B5" i="8"/>
  <c r="B6" i="8"/>
  <c r="AE13" i="4"/>
  <c r="AE17" i="4"/>
  <c r="B7" i="8"/>
  <c r="AF29" i="4"/>
  <c r="B4" i="8"/>
  <c r="X12" i="4"/>
  <c r="X24" i="8"/>
  <c r="R25" i="8"/>
  <c r="K29" i="4"/>
  <c r="R9" i="4"/>
  <c r="AE18" i="4"/>
  <c r="X10" i="4"/>
  <c r="Y10" i="4" s="1"/>
  <c r="L29" i="4"/>
  <c r="AE8" i="4"/>
  <c r="AE14" i="4"/>
  <c r="AD7" i="4"/>
  <c r="P10" i="4"/>
  <c r="N10" i="4"/>
  <c r="AE20" i="4"/>
  <c r="M21" i="4"/>
  <c r="AE19" i="4"/>
  <c r="AE15" i="4"/>
  <c r="AE16" i="4"/>
  <c r="E29" i="4"/>
  <c r="H29" i="4" l="1"/>
  <c r="J29" i="4"/>
  <c r="R26" i="8"/>
  <c r="X25" i="8"/>
  <c r="M22" i="4"/>
  <c r="AE21" i="4"/>
  <c r="X11" i="4"/>
  <c r="S9" i="4"/>
  <c r="N11" i="4"/>
  <c r="P11" i="4"/>
  <c r="X26" i="8" l="1"/>
  <c r="R27" i="8"/>
  <c r="T9" i="4"/>
  <c r="P12" i="4"/>
  <c r="N12" i="4"/>
  <c r="Y11" i="4"/>
  <c r="Y12" i="4" s="1"/>
  <c r="AE22" i="4"/>
  <c r="M23" i="4"/>
  <c r="X27" i="8" l="1"/>
  <c r="T16" i="8"/>
  <c r="T17" i="8" s="1"/>
  <c r="T18" i="8" s="1"/>
  <c r="T19" i="8" s="1"/>
  <c r="T20" i="8" s="1"/>
  <c r="T21" i="8" s="1"/>
  <c r="P13" i="4"/>
  <c r="N13" i="4"/>
  <c r="X18" i="4"/>
  <c r="X20" i="4"/>
  <c r="X25" i="4"/>
  <c r="X19" i="4"/>
  <c r="X26" i="4"/>
  <c r="X21" i="4"/>
  <c r="X23" i="4"/>
  <c r="X16" i="4"/>
  <c r="X13" i="4"/>
  <c r="Y13" i="4" s="1"/>
  <c r="X27" i="4"/>
  <c r="X14" i="4"/>
  <c r="X24" i="4"/>
  <c r="X17" i="4"/>
  <c r="X28" i="4"/>
  <c r="X15" i="4"/>
  <c r="X22" i="4"/>
  <c r="R10" i="4"/>
  <c r="AE23" i="4"/>
  <c r="M24" i="4"/>
  <c r="T22" i="8" l="1"/>
  <c r="N14" i="4"/>
  <c r="P14" i="4"/>
  <c r="S10" i="4"/>
  <c r="M25" i="4"/>
  <c r="AE24" i="4"/>
  <c r="Y14" i="4"/>
  <c r="Y15" i="4" s="1"/>
  <c r="Y16" i="4" s="1"/>
  <c r="Y17" i="4" s="1"/>
  <c r="Y18" i="4" s="1"/>
  <c r="Y19" i="4" s="1"/>
  <c r="Y20" i="4" s="1"/>
  <c r="Y21" i="4" s="1"/>
  <c r="Y22" i="4" s="1"/>
  <c r="Y23" i="4" s="1"/>
  <c r="Y24" i="4" s="1"/>
  <c r="Y25" i="4" s="1"/>
  <c r="Y26" i="4" s="1"/>
  <c r="Y27" i="4" s="1"/>
  <c r="Y28" i="4" s="1"/>
  <c r="X29" i="4"/>
  <c r="B12" i="8" l="1"/>
  <c r="P15" i="4"/>
  <c r="N15" i="4"/>
  <c r="M26" i="4"/>
  <c r="AE25" i="4"/>
  <c r="T10" i="4"/>
  <c r="R11" i="4" l="1"/>
  <c r="M27" i="4"/>
  <c r="AE26" i="4"/>
  <c r="N16" i="4"/>
  <c r="P16" i="4"/>
  <c r="G10" i="4" l="1"/>
  <c r="V10" i="4" s="1"/>
  <c r="G14" i="4"/>
  <c r="V14" i="4" s="1"/>
  <c r="G18" i="4"/>
  <c r="G22" i="4"/>
  <c r="G26" i="4"/>
  <c r="G11" i="4"/>
  <c r="V11" i="4" s="1"/>
  <c r="G15" i="4"/>
  <c r="V15" i="4" s="1"/>
  <c r="G19" i="4"/>
  <c r="G23" i="4"/>
  <c r="G27" i="4"/>
  <c r="G12" i="4"/>
  <c r="V12" i="4" s="1"/>
  <c r="G16" i="4"/>
  <c r="V16" i="4" s="1"/>
  <c r="G20" i="4"/>
  <c r="G24" i="4"/>
  <c r="G28" i="4"/>
  <c r="G9" i="4"/>
  <c r="G13" i="4"/>
  <c r="V13" i="4" s="1"/>
  <c r="G17" i="4"/>
  <c r="G21" i="4"/>
  <c r="G25" i="4"/>
  <c r="G8" i="4"/>
  <c r="AE27" i="4"/>
  <c r="M28" i="4"/>
  <c r="S11" i="4"/>
  <c r="N17" i="4"/>
  <c r="P17" i="4"/>
  <c r="Z10" i="4" l="1"/>
  <c r="AA10" i="4" s="1"/>
  <c r="AB10" i="4" s="1"/>
  <c r="AC10" i="4" s="1"/>
  <c r="V17" i="4"/>
  <c r="Z11" i="4"/>
  <c r="G29" i="4"/>
  <c r="Z8" i="4"/>
  <c r="AA8" i="4" s="1"/>
  <c r="AB8" i="4" s="1"/>
  <c r="AC8" i="4" s="1"/>
  <c r="AD8" i="4" s="1"/>
  <c r="Z9" i="4"/>
  <c r="AA9" i="4" s="1"/>
  <c r="V9" i="4"/>
  <c r="N18" i="4"/>
  <c r="V18" i="4" s="1"/>
  <c r="P18" i="4"/>
  <c r="T11" i="4"/>
  <c r="AA11" i="4"/>
  <c r="AE28" i="4"/>
  <c r="AE29" i="4" s="1"/>
  <c r="AF31" i="4" s="1"/>
  <c r="B13" i="2" s="1"/>
  <c r="M29" i="4"/>
  <c r="AB9" i="4" l="1"/>
  <c r="AC9" i="4" s="1"/>
  <c r="AD9" i="4" s="1"/>
  <c r="AD10" i="4" s="1"/>
  <c r="R12" i="4"/>
  <c r="P19" i="4"/>
  <c r="N19" i="4"/>
  <c r="V19" i="4" s="1"/>
  <c r="AB11" i="4"/>
  <c r="P20" i="4" l="1"/>
  <c r="N20" i="4"/>
  <c r="V20" i="4" s="1"/>
  <c r="AC11" i="4"/>
  <c r="Z12" i="4"/>
  <c r="S12" i="4"/>
  <c r="T12" i="4" l="1"/>
  <c r="AA12" i="4"/>
  <c r="AD11" i="4"/>
  <c r="N21" i="4"/>
  <c r="V21" i="4" s="1"/>
  <c r="P21" i="4"/>
  <c r="AB12" i="4" l="1"/>
  <c r="R13" i="4"/>
  <c r="P22" i="4"/>
  <c r="N22" i="4"/>
  <c r="V22" i="4" s="1"/>
  <c r="AC12" i="4" l="1"/>
  <c r="Z13" i="4"/>
  <c r="S13" i="4"/>
  <c r="N23" i="4"/>
  <c r="V23" i="4" s="1"/>
  <c r="P23" i="4"/>
  <c r="T13" i="4" l="1"/>
  <c r="AD12" i="4"/>
  <c r="N24" i="4"/>
  <c r="V24" i="4" s="1"/>
  <c r="P24" i="4"/>
  <c r="AA13" i="4"/>
  <c r="AB13" i="4" l="1"/>
  <c r="N25" i="4"/>
  <c r="V25" i="4" s="1"/>
  <c r="P25" i="4"/>
  <c r="R14" i="4"/>
  <c r="P26" i="4" l="1"/>
  <c r="N26" i="4"/>
  <c r="V26" i="4" s="1"/>
  <c r="S14" i="4"/>
  <c r="T14" i="4" s="1"/>
  <c r="Z14" i="4"/>
  <c r="AA14" i="4" s="1"/>
  <c r="AB14" i="4" s="1"/>
  <c r="AC14" i="4" s="1"/>
  <c r="AC13" i="4"/>
  <c r="AD13" i="4" l="1"/>
  <c r="AD14" i="4" s="1"/>
  <c r="R15" i="4"/>
  <c r="P27" i="4"/>
  <c r="N27" i="4"/>
  <c r="V27" i="4" s="1"/>
  <c r="Z15" i="4" l="1"/>
  <c r="AA15" i="4" s="1"/>
  <c r="AB15" i="4" s="1"/>
  <c r="AC15" i="4" s="1"/>
  <c r="AD15" i="4" s="1"/>
  <c r="S15" i="4"/>
  <c r="T15" i="4" s="1"/>
  <c r="N28" i="4"/>
  <c r="P28" i="4"/>
  <c r="AG14" i="4"/>
  <c r="V28" i="4" l="1"/>
  <c r="N29" i="4"/>
  <c r="AG15" i="4"/>
  <c r="V29" i="4"/>
  <c r="R16" i="4"/>
  <c r="Z16" i="4" l="1"/>
  <c r="AA16" i="4" s="1"/>
  <c r="AB16" i="4" s="1"/>
  <c r="AC16" i="4" s="1"/>
  <c r="AD16" i="4" s="1"/>
  <c r="S16" i="4"/>
  <c r="T16" i="4" s="1"/>
  <c r="AG16" i="4" l="1"/>
  <c r="R17" i="4"/>
  <c r="Z17" i="4" l="1"/>
  <c r="AA17" i="4" s="1"/>
  <c r="AB17" i="4" s="1"/>
  <c r="AC17" i="4" s="1"/>
  <c r="AD17" i="4" s="1"/>
  <c r="S17" i="4"/>
  <c r="T17" i="4" s="1"/>
  <c r="R18" i="4" l="1"/>
  <c r="AG17" i="4"/>
  <c r="S18" i="4" l="1"/>
  <c r="T18" i="4" s="1"/>
  <c r="Z18" i="4"/>
  <c r="AA18" i="4" s="1"/>
  <c r="AB18" i="4" s="1"/>
  <c r="AC18" i="4" s="1"/>
  <c r="AD18" i="4" s="1"/>
  <c r="AG18" i="4" l="1"/>
  <c r="R19" i="4"/>
  <c r="S19" i="4" l="1"/>
  <c r="T19" i="4" s="1"/>
  <c r="Z19" i="4"/>
  <c r="AA19" i="4" s="1"/>
  <c r="AB19" i="4" s="1"/>
  <c r="AC19" i="4" s="1"/>
  <c r="AD19" i="4" s="1"/>
  <c r="AG19" i="4" l="1"/>
  <c r="R20" i="4"/>
  <c r="Z20" i="4" l="1"/>
  <c r="AA20" i="4" s="1"/>
  <c r="AB20" i="4" s="1"/>
  <c r="AC20" i="4" s="1"/>
  <c r="AD20" i="4" s="1"/>
  <c r="S20" i="4"/>
  <c r="T20" i="4" s="1"/>
  <c r="R21" i="4" l="1"/>
  <c r="AG20" i="4"/>
  <c r="S21" i="4" l="1"/>
  <c r="T21" i="4" s="1"/>
  <c r="Z21" i="4"/>
  <c r="AA21" i="4" s="1"/>
  <c r="AB21" i="4" s="1"/>
  <c r="AC21" i="4" s="1"/>
  <c r="AD21" i="4" s="1"/>
  <c r="R22" i="4" l="1"/>
  <c r="AG21" i="4"/>
  <c r="S22" i="4" l="1"/>
  <c r="T22" i="4" s="1"/>
  <c r="Z22" i="4"/>
  <c r="AA22" i="4" s="1"/>
  <c r="AB22" i="4" s="1"/>
  <c r="AC22" i="4" s="1"/>
  <c r="AD22" i="4" s="1"/>
  <c r="AG22" i="4" l="1"/>
  <c r="R23" i="4"/>
  <c r="Z23" i="4" l="1"/>
  <c r="AA23" i="4" s="1"/>
  <c r="AB23" i="4" s="1"/>
  <c r="AC23" i="4" s="1"/>
  <c r="AD23" i="4" s="1"/>
  <c r="S23" i="4"/>
  <c r="T23" i="4" s="1"/>
  <c r="R24" i="4" l="1"/>
  <c r="AG23" i="4"/>
  <c r="S24" i="4" l="1"/>
  <c r="T24" i="4" s="1"/>
  <c r="Z24" i="4"/>
  <c r="AA24" i="4" s="1"/>
  <c r="AB24" i="4" s="1"/>
  <c r="AC24" i="4" s="1"/>
  <c r="AD24" i="4" s="1"/>
  <c r="AG24" i="4" l="1"/>
  <c r="R25" i="4"/>
  <c r="S25" i="4" l="1"/>
  <c r="T25" i="4" s="1"/>
  <c r="Z25" i="4"/>
  <c r="AA25" i="4" s="1"/>
  <c r="AB25" i="4" s="1"/>
  <c r="AC25" i="4" s="1"/>
  <c r="AD25" i="4" s="1"/>
  <c r="AG25" i="4" l="1"/>
  <c r="R26" i="4"/>
  <c r="Z26" i="4" l="1"/>
  <c r="AA26" i="4" s="1"/>
  <c r="AB26" i="4" s="1"/>
  <c r="AC26" i="4" s="1"/>
  <c r="AD26" i="4" s="1"/>
  <c r="S26" i="4"/>
  <c r="T26" i="4" s="1"/>
  <c r="AG26" i="4" l="1"/>
  <c r="R27" i="4"/>
  <c r="S27" i="4" l="1"/>
  <c r="T27" i="4" s="1"/>
  <c r="Z27" i="4"/>
  <c r="AA27" i="4" s="1"/>
  <c r="AB27" i="4" s="1"/>
  <c r="AC27" i="4" s="1"/>
  <c r="AD27" i="4" s="1"/>
  <c r="AG27" i="4" l="1"/>
  <c r="R28" i="4"/>
  <c r="Z28" i="4" l="1"/>
  <c r="S28" i="4"/>
  <c r="R29" i="4"/>
  <c r="AA28" i="4" l="1"/>
  <c r="Z29" i="4"/>
  <c r="S29" i="4"/>
  <c r="T28" i="4"/>
  <c r="AA29" i="4" l="1"/>
  <c r="AB28" i="4"/>
  <c r="AC28" i="4" l="1"/>
  <c r="AB29" i="4"/>
  <c r="AB30" i="4"/>
  <c r="B11" i="2" l="1"/>
  <c r="AB31" i="4"/>
  <c r="AC29" i="4"/>
  <c r="B14" i="2" s="1"/>
  <c r="C14" i="2" s="1"/>
  <c r="AD28" i="4"/>
  <c r="AG28" i="4" l="1"/>
  <c r="AG29" i="4" s="1"/>
  <c r="B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Alfred Körblein</author>
    <author>Alfred</author>
    <author/>
    <author>Windows-Benutzer</author>
    <author>Windows User</author>
  </authors>
  <commentList>
    <comment ref="B11" authorId="0" shapeId="0" xr:uid="{00000000-0006-0000-0100-000001000000}">
      <text>
        <r>
          <rPr>
            <b/>
            <sz val="9"/>
            <color indexed="81"/>
            <rFont val="Segoe UI"/>
            <family val="2"/>
          </rPr>
          <t>Ergebnis evtl. ungültig bei Laufzeit des KfW Kredits von 20 Jahren</t>
        </r>
        <r>
          <rPr>
            <sz val="9"/>
            <color indexed="81"/>
            <rFont val="Segoe UI"/>
            <family val="2"/>
          </rPr>
          <t xml:space="preserve">
</t>
        </r>
      </text>
    </comment>
    <comment ref="B12" authorId="0" shapeId="0" xr:uid="{00000000-0006-0000-0100-000002000000}">
      <text>
        <r>
          <rPr>
            <b/>
            <sz val="9"/>
            <color indexed="81"/>
            <rFont val="Segoe UI"/>
            <family val="2"/>
          </rPr>
          <t xml:space="preserve">Ergebnis evtl. ungültig bei Lauzeit des KfW-Kredits von 20 Jahren
</t>
        </r>
        <r>
          <rPr>
            <sz val="9"/>
            <color indexed="81"/>
            <rFont val="Segoe UI"/>
            <family val="2"/>
          </rPr>
          <t xml:space="preserve">
</t>
        </r>
      </text>
    </comment>
    <comment ref="B13" authorId="0" shapeId="0" xr:uid="{00000000-0006-0000-0100-000003000000}">
      <text>
        <r>
          <rPr>
            <b/>
            <sz val="9"/>
            <color indexed="81"/>
            <rFont val="Tahoma"/>
            <family val="2"/>
          </rPr>
          <t>LCOE:
Levelized Cost of Electricity</t>
        </r>
      </text>
    </comment>
    <comment ref="B15" authorId="1" shapeId="0" xr:uid="{00000000-0006-0000-0100-000004000000}">
      <text>
        <r>
          <rPr>
            <b/>
            <sz val="9"/>
            <color indexed="81"/>
            <rFont val="Arial"/>
            <family val="2"/>
          </rPr>
          <t xml:space="preserve">Berücksichtigt auch die Mehrwertsteuer! </t>
        </r>
      </text>
    </comment>
    <comment ref="B23" authorId="1" shapeId="0" xr:uid="{00000000-0006-0000-0100-000005000000}">
      <text>
        <r>
          <rPr>
            <b/>
            <sz val="9"/>
            <color indexed="81"/>
            <rFont val="Tahoma"/>
            <family val="2"/>
          </rPr>
          <t xml:space="preserve">Höhe des Zuschusses bestimmen und hier eintragen (Anleitung siehe Informationsblatt der KfW, erhältlich über nebenstehenden Link)
</t>
        </r>
        <r>
          <rPr>
            <sz val="9"/>
            <color indexed="81"/>
            <rFont val="Tahoma"/>
            <family val="2"/>
          </rPr>
          <t xml:space="preserve">
</t>
        </r>
      </text>
    </comment>
    <comment ref="B24" authorId="2" shapeId="0" xr:uid="{00000000-0006-0000-0100-000006000000}">
      <text>
        <r>
          <rPr>
            <b/>
            <sz val="9"/>
            <color indexed="8"/>
            <rFont val="Arial"/>
            <family val="2"/>
          </rPr>
          <t xml:space="preserve">z.B. für Planung und Zwischenfinanzierung der Mehrwertkosten
</t>
        </r>
      </text>
    </comment>
    <comment ref="B30" authorId="0" shapeId="0" xr:uid="{00000000-0006-0000-0100-000007000000}">
      <text>
        <r>
          <rPr>
            <b/>
            <sz val="9"/>
            <color indexed="81"/>
            <rFont val="Segoe UI"/>
            <family val="2"/>
          </rPr>
          <t>Prozentualer Anteil des Eigenverbrauchs (Direktnutzung) an der PV-Stromerzeugung.</t>
        </r>
      </text>
    </comment>
    <comment ref="B31" authorId="0" shapeId="0" xr:uid="{00000000-0006-0000-0100-000008000000}">
      <text>
        <r>
          <rPr>
            <b/>
            <sz val="9"/>
            <color indexed="81"/>
            <rFont val="Segoe UI"/>
            <family val="2"/>
          </rPr>
          <t>PV-Stromeinspeisung in die Batterie, in Prozent der PV-Stromerzeugung</t>
        </r>
        <r>
          <rPr>
            <sz val="9"/>
            <color indexed="81"/>
            <rFont val="Segoe UI"/>
            <family val="2"/>
          </rPr>
          <t xml:space="preserve">
</t>
        </r>
      </text>
    </comment>
    <comment ref="B33" authorId="3" shapeId="0" xr:uid="{00000000-0006-0000-0100-000009000000}">
      <text>
        <r>
          <rPr>
            <b/>
            <sz val="9"/>
            <color indexed="81"/>
            <rFont val="Segoe UI"/>
            <family val="2"/>
          </rPr>
          <t>Jährlicher anteiliger Rückgang der zusätzlichen Direktnutzung über Batteriespeicher infolge Abnahme der Speicherkapazität.
Beispiel: Ein Rückgang um 5% bedeutet eine Abnahme der Direktnutzung von 40% auf 38%.</t>
        </r>
      </text>
    </comment>
    <comment ref="B54" authorId="0" shapeId="0" xr:uid="{00000000-0006-0000-0100-00000A000000}">
      <text>
        <r>
          <rPr>
            <b/>
            <sz val="9"/>
            <color indexed="81"/>
            <rFont val="Segoe UI"/>
            <family val="2"/>
          </rPr>
          <t>PV-Anlagen bis zu 30 kWp auf Einfamilienhäusern einschließlich Nebengebäuden sind von der Einkommensteuerpflicht befreit. Für Mehrfamilienhäuser gilt eine Grenze von 15 kWp pro Wohneinheit.</t>
        </r>
      </text>
    </comment>
    <comment ref="B56" authorId="2" shapeId="0" xr:uid="{00000000-0006-0000-0100-00000B000000}">
      <text>
        <r>
          <rPr>
            <b/>
            <sz val="9"/>
            <color indexed="8"/>
            <rFont val="Tahoma"/>
            <family val="2"/>
          </rPr>
          <t xml:space="preserve">Bei Inanspruchnahme der Kleinunternehmer-Regelung (§19 des UStG) wird die Umsatzsteuer in Höhe von 19% der Anlagenkosten nicht rückerstattet. Im Gegenzug wird keine MwSt auf den selbst verbrauchten Solarstrom erhoben. Ab 2023 entfällt die MwSt für PV-Anlagen mit einer Leistung bis zu 30 kWp
</t>
        </r>
      </text>
    </comment>
    <comment ref="B57" authorId="3" shapeId="0" xr:uid="{00000000-0006-0000-0100-00000C000000}">
      <text>
        <r>
          <rPr>
            <b/>
            <sz val="9"/>
            <color indexed="81"/>
            <rFont val="Segoe UI"/>
            <family val="2"/>
          </rPr>
          <t>Wenn Umstellung="ja" gewählt wird, muss Kleinunternehmer = "nein" gesetzt sein.</t>
        </r>
        <r>
          <rPr>
            <sz val="9"/>
            <color indexed="81"/>
            <rFont val="Segoe UI"/>
            <family val="2"/>
          </rPr>
          <t xml:space="preserve">
</t>
        </r>
      </text>
    </comment>
    <comment ref="B59" authorId="0" shapeId="0" xr:uid="{00000000-0006-0000-0100-00000D000000}">
      <text>
        <r>
          <rPr>
            <b/>
            <sz val="9"/>
            <color indexed="81"/>
            <rFont val="Arial"/>
            <family val="2"/>
          </rPr>
          <t>Zinssatz, mit dem die jährlichen Erträge abgezinst (diskontiert) werden, um den Barwert zu ermitteln</t>
        </r>
      </text>
    </comment>
    <comment ref="B67" authorId="4" shapeId="0" xr:uid="{00000000-0006-0000-0100-00000E000000}">
      <text>
        <r>
          <rPr>
            <b/>
            <sz val="9"/>
            <color indexed="81"/>
            <rFont val="Tahoma"/>
            <family val="2"/>
          </rPr>
          <t xml:space="preserve">Gewerbebetriebe zahlen keine Umsatzsteuer auf Eigenverbrauch </t>
        </r>
        <r>
          <rPr>
            <sz val="9"/>
            <color indexed="81"/>
            <rFont val="Tahoma"/>
            <family val="2"/>
          </rPr>
          <t xml:space="preserve">
</t>
        </r>
      </text>
    </comment>
    <comment ref="B70" authorId="1" shapeId="0" xr:uid="{00000000-0006-0000-0100-00000F000000}">
      <text>
        <r>
          <rPr>
            <b/>
            <sz val="9"/>
            <color indexed="81"/>
            <rFont val="Arial"/>
            <family val="2"/>
          </rPr>
          <t>Vor dem jeweiligen Jahr der Inbetriebnahme können im Jahr der Investitionsentscheidung (bei verbindlicher Bestellung der PV-Anlage, soweit ein Betrieb dafür erst gegründet wird) maximal 50% der Anschaffungskosten wie andere Aufwendungen steuermindernd geltend gemacht werden
(Investionsabzugsbetrag). Die Berechnung legt eine Inbetriebnahme im ersten Jahr, das auf das Jahr der Investitionsentscheidung folgt, zu Grunde. Spätestens im zweiten Folgejahr nach Bildung der 50% Rücklage muss die tatsächliche Investition/Inbetriebnahme erfolgen. 
Im Jahr der Inbetriebnahme (spätestens im zweiten Folgejahr nach Bildung der 50% Rücklage) werden diese 50% aber wieder gewinnerhöhend hinzugerechnet und müssen entsprechend versteuert werden. Der Investionsabzugsbetrag ist i.d.R. dann interessant, wenn das zu versteuernde Einkommen im Jahr der Investitionsentscheidung wesentlich höher ist als im Jahr der Inbetriebnahme.
Seit dem Jahr 2016 ist es zulässig, den Investitionsabzug durch eine einmalige Abschreibung (AFA) im Jahr der Inbetriebnahme aufzulösen.</t>
        </r>
      </text>
    </comment>
    <comment ref="B71" authorId="1" shapeId="0" xr:uid="{00000000-0006-0000-0100-000010000000}">
      <text>
        <r>
          <rPr>
            <b/>
            <sz val="9"/>
            <color indexed="81"/>
            <rFont val="Arial"/>
            <family val="2"/>
          </rPr>
          <t>Im Jahr der Inbetriebnahme und in den 4 Folgejahren kann neben der linearen oder degressiven Abschreibung eine Sonderabschreibung in Höhe von insgesamt 20% vorgenommen werden.
Im Berechnungsblatt werden im Jahr der Inbetriebnahme 19% und  im 5. Jahr 1% abgeschrieben.</t>
        </r>
      </text>
    </comment>
  </commentList>
</comments>
</file>

<file path=xl/sharedStrings.xml><?xml version="1.0" encoding="utf-8"?>
<sst xmlns="http://schemas.openxmlformats.org/spreadsheetml/2006/main" count="269" uniqueCount="206">
  <si>
    <t>Inflationsrate</t>
  </si>
  <si>
    <t>p.a.</t>
  </si>
  <si>
    <t>Jahr</t>
  </si>
  <si>
    <t>Zinsen</t>
  </si>
  <si>
    <t>Ergebnis</t>
  </si>
  <si>
    <t>Ergebnisse:</t>
  </si>
  <si>
    <t>steuerl.</t>
  </si>
  <si>
    <t>Die Veränderung dieser Dateien und die Weiterverbreitung veränderter Kopien ist ausdrücklich untersagt.</t>
  </si>
  <si>
    <t>kWp</t>
  </si>
  <si>
    <t>laufende</t>
  </si>
  <si>
    <t>Kosten</t>
  </si>
  <si>
    <t>n. Steuer</t>
  </si>
  <si>
    <t xml:space="preserve">Barwert </t>
  </si>
  <si>
    <t>Restwert</t>
  </si>
  <si>
    <t>Restschuld</t>
  </si>
  <si>
    <t>€/kWp</t>
  </si>
  <si>
    <t>Tilgung</t>
  </si>
  <si>
    <t>€</t>
  </si>
  <si>
    <t>Hinweise:</t>
  </si>
  <si>
    <t>Jahre</t>
  </si>
  <si>
    <t>Kapitalwert</t>
  </si>
  <si>
    <t>Steuersatz (danach)</t>
  </si>
  <si>
    <t>1. Darlehen</t>
  </si>
  <si>
    <t>2. Darlehen</t>
  </si>
  <si>
    <t>spezifischer Stromertrag</t>
  </si>
  <si>
    <t>Annuität</t>
  </si>
  <si>
    <t>2. Darlehen (gleichbleibende Annuitäten)</t>
  </si>
  <si>
    <t xml:space="preserve">     Zinssatz</t>
  </si>
  <si>
    <t xml:space="preserve">     Auszahlung</t>
  </si>
  <si>
    <t xml:space="preserve">     Laufzeit</t>
  </si>
  <si>
    <t xml:space="preserve">     Tilgungsfreie Zeit</t>
  </si>
  <si>
    <t>AfA</t>
  </si>
  <si>
    <t xml:space="preserve">     Zinssatz (nominal)</t>
  </si>
  <si>
    <t>Wirtschaftlichkeit von Solarstrom</t>
  </si>
  <si>
    <t>PV-Anlage</t>
  </si>
  <si>
    <t>Finanzierung</t>
  </si>
  <si>
    <t>Sonstiges</t>
  </si>
  <si>
    <t>Zinssatz für Barwertermittlung (Diskontsatz)</t>
  </si>
  <si>
    <t>indiv. Steuersatz (in den ersten 10 Jahren)</t>
  </si>
  <si>
    <t xml:space="preserve">     Zinssatz nach Zinsbindung</t>
  </si>
  <si>
    <t>Die Exceltabelle wurde sorgfältig getestet. Dennoch kann für die Richtigkeit und die korrekte Funktion keine Gewähr übernommen werden.</t>
  </si>
  <si>
    <t>Dachmiete</t>
  </si>
  <si>
    <t>kWh/a</t>
  </si>
  <si>
    <t>Kapitalwert (Gewinn bzw. Verlust)</t>
  </si>
  <si>
    <t>SonderAfA</t>
  </si>
  <si>
    <t>Januar</t>
  </si>
  <si>
    <t>Februar</t>
  </si>
  <si>
    <t>März</t>
  </si>
  <si>
    <t>April</t>
  </si>
  <si>
    <t>Mai</t>
  </si>
  <si>
    <t>Juni</t>
  </si>
  <si>
    <t>Juli</t>
  </si>
  <si>
    <t>August</t>
  </si>
  <si>
    <t>September</t>
  </si>
  <si>
    <t>Oktober</t>
  </si>
  <si>
    <t>November</t>
  </si>
  <si>
    <t>Dezember</t>
  </si>
  <si>
    <t>nein</t>
  </si>
  <si>
    <t>€/kWh</t>
  </si>
  <si>
    <t>Falls Sie Fehler entdecken oder Verbesserungsvorschläge haben, wenden Sie sich bitte an Dr. Alfred Körblein, ak@umweltinstitut.org</t>
  </si>
  <si>
    <r>
      <t xml:space="preserve">erstellt von 
</t>
    </r>
    <r>
      <rPr>
        <b/>
        <sz val="11"/>
        <rFont val="Arial"/>
        <family val="2"/>
      </rPr>
      <t>Dr. Alfred Körblein</t>
    </r>
  </si>
  <si>
    <t xml:space="preserve">Bei Nutzung der Excel-Tabelle durch Organisationen und für öffentliche oder gewerbliche Zwecke bitten wir um die Angabe der Quelle: Umweltinstitut München e.V. </t>
  </si>
  <si>
    <r>
      <t xml:space="preserve">Die </t>
    </r>
    <r>
      <rPr>
        <b/>
        <sz val="10"/>
        <rFont val="Arial"/>
        <family val="2"/>
      </rPr>
      <t>Inflationsrate</t>
    </r>
    <r>
      <rPr>
        <sz val="10"/>
        <rFont val="Arial"/>
      </rPr>
      <t xml:space="preserve"> geht in die Rechnung ein, weil angenommen wird, dass die laufenden Kosten (Versicherung, Wartung) mit der Inflationsrate ansteigen.</t>
    </r>
  </si>
  <si>
    <t>Copyright  Dr. Alfred Körblein</t>
  </si>
  <si>
    <t>Monat der Inbetriebnahme (1-12)</t>
  </si>
  <si>
    <t>Strompreis im ersten Jahr (netto)</t>
  </si>
  <si>
    <t>Zinssatz bei Wiederanlage</t>
  </si>
  <si>
    <t>interner Zinsfuss (IRR)</t>
  </si>
  <si>
    <t>Erzeugung</t>
  </si>
  <si>
    <t>EEG</t>
  </si>
  <si>
    <t>Vergütung</t>
  </si>
  <si>
    <t>Direktverbrauch</t>
  </si>
  <si>
    <r>
      <t>Funktion und Ergebnis der Berechnungstabelle:</t>
    </r>
    <r>
      <rPr>
        <sz val="10"/>
        <rFont val="Arial"/>
      </rPr>
      <t xml:space="preserve">
Die Excel-Tabelle solarstrom.xls gestattet die Berechnung der Wirtschaftlichkeit von privaten Solarstrom-Anlagen (Photovoltaik-Anlagen) unter Berücksichtigung steuerlicher Aspekte. Die Mehrwertsteuer auf die Anschaffungskosten wird rückerstattet und wird deshalb in der Rechnung als durchlaufender Posten behandelt. Als Maß für die Wirtschaftlichkeit wird die mittlere Rendite (interner Zinsfuß) angegeben. 
Die jährlichen Erträge berechnen sich aus der Differenz von Einnahmen und Ausgaben. Die Einnahmen werden aus dem Stromverkauf und den Einsparungen durch Direktverbrauch erzielt, die Ausgaben errechnen sich aus den laufenden Kosten und dem Kapitaldienst. Beim letzteren wird vereinfachend angenommen, dass das Darlehen (z.B. von der KfW) entweder am Anfang oder in der Mitte des Jahres ausbezahlt wurde, abhängig davon, ob die PV-Anlage im ersten oder im zweiten Halbjahr in Betrieb geht.</t>
    </r>
  </si>
  <si>
    <t xml:space="preserve">€    </t>
  </si>
  <si>
    <t>Stromgestehungskosten (LCOE)</t>
  </si>
  <si>
    <t>Steuer-</t>
  </si>
  <si>
    <t>wirkung</t>
  </si>
  <si>
    <t>vermarktung</t>
  </si>
  <si>
    <t>Direkt-</t>
  </si>
  <si>
    <t>Batteriespeicher (ja=1, nein=0)</t>
  </si>
  <si>
    <t>Einsparung</t>
  </si>
  <si>
    <t>lauf. Kosten</t>
  </si>
  <si>
    <t>ja</t>
  </si>
  <si>
    <t>20% Sonderabschreibung?</t>
  </si>
  <si>
    <t xml:space="preserve">     Zinsbindung (5 / 10 / 20 Jahre)</t>
  </si>
  <si>
    <t>Eigenfinanzierungsanteil</t>
  </si>
  <si>
    <t>€   entspr.</t>
  </si>
  <si>
    <t>Zuschuss für Batteriesystem</t>
  </si>
  <si>
    <t>Kosten der PV-Anlage (ohne Batterien, ohne MWSt)</t>
  </si>
  <si>
    <t>Jahr der Inbetriebnahme</t>
  </si>
  <si>
    <t>Die Exceldatei solarstrom.xls wurde von Dr. Alfred Körblein im Jahr 1999 im Rahmen seiner Tätigkeit am Umweltinstitut München e.V. entwickelt. Seitdem gab es zahlreiche Updates. Kritische Kommentare und Verbesserungsvorschläge von Nutzern waren immer eine große Hilfe und sind auch weiterhin sehr willkommen.</t>
  </si>
  <si>
    <t xml:space="preserve">Die restlichen Felder sind gegen irrtümliches Überschreiben gesperrt. </t>
  </si>
  <si>
    <r>
      <t xml:space="preserve">Zinsgünstige KfW-Kredite: </t>
    </r>
    <r>
      <rPr>
        <sz val="10"/>
        <rFont val="Arial"/>
        <family val="2"/>
      </rPr>
      <t>Weiterhin stehen zinsvergünstigte Darlehen der Kreditanstalt für Wiederaufbau (KfW) zur Verfügung. Die Darlehen haben Laufzeiten von 5, 10 und 20 Jahren bei 1, 2 oder 3 tilgungsfreien Jahren. Die Zinsbindung beträgt 5 bzw. 10 Jahre. Die aktuellen Zinskonditionen können von der hompage der KfW heruntergeladen werden (Programmnummer 274).</t>
    </r>
  </si>
  <si>
    <t xml:space="preserve">entspricht </t>
  </si>
  <si>
    <t>€/kWh brutto</t>
  </si>
  <si>
    <t>PVGIS</t>
  </si>
  <si>
    <t>Vorlaufkosten, Zwischenfinanzierung MwSt</t>
  </si>
  <si>
    <t>Gesamtkosten</t>
  </si>
  <si>
    <t>Vorgabelisten:</t>
  </si>
  <si>
    <t>LCOE=</t>
  </si>
  <si>
    <t>IBNJahr</t>
  </si>
  <si>
    <t>MwSt</t>
  </si>
  <si>
    <t>diskontiert</t>
  </si>
  <si>
    <t>laufende Kosten</t>
  </si>
  <si>
    <t>EEG-Umlage</t>
  </si>
  <si>
    <t>Gewerbebetrieb? (ja/nein)</t>
  </si>
  <si>
    <t>€ p.a.</t>
  </si>
  <si>
    <t>EEG-Einspeisevergütung</t>
  </si>
  <si>
    <t>Monat</t>
  </si>
  <si>
    <t>€/a</t>
  </si>
  <si>
    <t>Jährliche Grundgebühr Strom (netto)</t>
  </si>
  <si>
    <t>Der Blattschutz kann bei Bedarf aufgehoben werden.</t>
  </si>
  <si>
    <t>Konditionen</t>
  </si>
  <si>
    <t>kWh/kWpa     siehe:</t>
  </si>
  <si>
    <t>jährlicher Stromverbrauch</t>
  </si>
  <si>
    <t>Speicherförderung</t>
  </si>
  <si>
    <t>EEG-Vergütung</t>
  </si>
  <si>
    <t>Direktvermarktung (ja / nein)</t>
  </si>
  <si>
    <t>Amortisationszeit</t>
  </si>
  <si>
    <t>Batterie-Lade/Entladeverluste</t>
  </si>
  <si>
    <t>Kleinunternehmerregelung (KUR) (ja / nein)</t>
  </si>
  <si>
    <t xml:space="preserve">  Jährl. Abnahme der Direktnutzung über Speicher</t>
  </si>
  <si>
    <t xml:space="preserve">  Ertragsminderung pro Jahr</t>
  </si>
  <si>
    <t xml:space="preserve">  Strompreissteigerung</t>
  </si>
  <si>
    <t>Stromerlös bei Direktvermarktung (DV)</t>
  </si>
  <si>
    <t xml:space="preserve">  Jährl. Steigerung des Erlöses bei DV</t>
  </si>
  <si>
    <t>KUR</t>
  </si>
  <si>
    <t>Anlagenleistung (max. 100 kWp)</t>
  </si>
  <si>
    <t>Direktnutzung</t>
  </si>
  <si>
    <t>%</t>
  </si>
  <si>
    <t xml:space="preserve">  Umstellung auf KUR im 7. Jahr</t>
  </si>
  <si>
    <t>Programm 270</t>
  </si>
  <si>
    <t>cashflow</t>
  </si>
  <si>
    <t xml:space="preserve">cashflow </t>
  </si>
  <si>
    <t>Kalenderjahr</t>
  </si>
  <si>
    <t>Kosten für Batteriensystem (netto)</t>
  </si>
  <si>
    <t>Die eingerahmten Felder können beliebig verändert werden; die Inhalte sind lediglich Anhaltswerte.</t>
  </si>
  <si>
    <r>
      <t xml:space="preserve">Der </t>
    </r>
    <r>
      <rPr>
        <b/>
        <sz val="10"/>
        <rFont val="Arial"/>
        <family val="2"/>
      </rPr>
      <t>Stromertrag</t>
    </r>
    <r>
      <rPr>
        <sz val="10"/>
        <rFont val="Arial"/>
      </rPr>
      <t xml:space="preserve"> unterliegt regionalen Unterschieden. Im Münchner Raum kann man von 1000 kWh/a pro kWp installierter Leistung ausgehen. In den nördlicheren Regionen Deutschlands fällt der Ertrag deutlich (bis zu 20%) geringer aus.</t>
    </r>
  </si>
  <si>
    <r>
      <rPr>
        <b/>
        <sz val="10"/>
        <rFont val="Arial"/>
        <family val="2"/>
      </rPr>
      <t>Anlagen mit Speichersystem:</t>
    </r>
    <r>
      <rPr>
        <sz val="10"/>
        <rFont val="Arial"/>
        <family val="2"/>
      </rPr>
      <t xml:space="preserve"> Speichersysteme werden dann steuerlich als Teil der Anlage behandelt, wenn sie zusammen mit der PV-Anlage installiert werden. Bei Nachrüstung wird die Umsatzsteuer nicht rückerstattet.</t>
    </r>
  </si>
  <si>
    <r>
      <t>Achtung:</t>
    </r>
    <r>
      <rPr>
        <sz val="10"/>
        <rFont val="Arial"/>
        <family val="2"/>
      </rPr>
      <t xml:space="preserve"> Das Ergebnis für den internen Zinsfuß (IRR) hängt ab vom eingesetzten Eigenkapital. In der Regel ist er höher je größer der Fremdfinanzierungsanteil ist. In einigen Fällen (z.B. wenn die Anlage weitgehend fremdfinanziert wird) führt die Berechnung des IRR auf eine Fehlermeldung (#Div/0!). Ausschlaggebend ist dann der Kapitalwert, also die Summe der mit dem Diskontastz abgezinsten jährlichen Erträge. Ein positiver Kapitalwert bedeutet Gewinn, ein negativer Kapitalwert Verlust.</t>
    </r>
  </si>
  <si>
    <t xml:space="preserve">Datum </t>
  </si>
  <si>
    <t>Inhalt vorher</t>
  </si>
  <si>
    <t>Inhalt nachher</t>
  </si>
  <si>
    <t>Spalte,Zelle</t>
  </si>
  <si>
    <t>Blatt</t>
  </si>
  <si>
    <t>Berechnung</t>
  </si>
  <si>
    <t>G8:G28</t>
  </si>
  <si>
    <t>"=WENN(Direktvermarktung="ja";0;C8*(1-D8))*EEG_Vergütung"</t>
  </si>
  <si>
    <t>"=WENN(Direktvermarktung="ja";0;C8*(1-(Direktnutzung+BatteriespeicherJN*Direktnutzung_Batteriespeicher)))*EEG_Vergütung"</t>
  </si>
  <si>
    <t>"=WENN(ODER(Gewerbe="ja";F15=1);0;-(Eigennutzung+BatteriespeicherJN*Direktnutzung_Batteriespeicher)*C15*0.19*(StrompreisNetto+Grundgebühr/Stromverbrauch)*(1+Strompreissteigerung)^A15)"</t>
  </si>
  <si>
    <t>"=WENN(ODER(Gewerbe="ja";F14=1);0;-E14*0.19*(StrompreisNetto+Grundgebühr/Stromverbrauch)*(1+Strompreissteigerung)^A14)"</t>
  </si>
  <si>
    <t>K8:28</t>
  </si>
  <si>
    <t>"=SUMME(G8:O8)+Q8-EigenkapitalZuAnfang-Bereitstellung1*Kredit1+WENN(UND(Gewerbe="nein";Kleinunternehmer="ja");0;0.19*(AnlagenpreisPV+BatteriespeicherJN*ZusatzkostenBatterie))</t>
  </si>
  <si>
    <t>U8</t>
  </si>
  <si>
    <t>Eigenverbr.</t>
  </si>
  <si>
    <t>Degression auf 1,8% pro Monat ab November 2020 erhöht</t>
  </si>
  <si>
    <t>P24:P25</t>
  </si>
  <si>
    <t>"=SUMME(G8:O8)+Q8-EigenkapitalZuAnfang-Bereitstellung1*Kredit1+WENN(Kleinunternehmer="ja";0;0.19*(AnlagenpreisPV+BatteriespeicherJN*ZusatzkostenBatterie))"</t>
  </si>
  <si>
    <t>Parameter</t>
  </si>
  <si>
    <t>EEG-Umlage 2021: 6,5 ct/kWh</t>
  </si>
  <si>
    <t>F82</t>
  </si>
  <si>
    <t>Fragen beantwortet Dr. Hauke Doerk vom Umweltinstitut München e.V., Tel. 089-307749-40, hd@umweltinstitut.org</t>
  </si>
  <si>
    <t>EEG-Umlage 2021: Eigenstromprivileg von 10 kWp auf 30 kWp erhöht</t>
  </si>
  <si>
    <t>D66</t>
  </si>
  <si>
    <t>J8-J28</t>
  </si>
  <si>
    <t>AA8-AA28</t>
  </si>
  <si>
    <t>EEG-Umlage: Eigenstromprivileg 2021 von 10 kWp auf 30 kWp erhöht</t>
  </si>
  <si>
    <t>Ertrag (kWh/a)</t>
  </si>
  <si>
    <t xml:space="preserve">"=E8*WENN(ODER(Gewerbe="ja";F8=1);1;1.19)*StrompreisNetto*(1+Strompreissteigerung)^A8" </t>
  </si>
  <si>
    <t>"=E8*WENN(Gewerbe="ja";1;1.19)*StrompreisNetto*(1+Strompreissteigerung)^A8"</t>
  </si>
  <si>
    <t>Spalte H</t>
  </si>
  <si>
    <t>Spalten U+Z</t>
  </si>
  <si>
    <t>Spalte K8 bis K14</t>
  </si>
  <si>
    <t>Inhalt neu: "=WENN(ODER(Gewerbe="ja";F10=1);0;-(Eigennutzung+BatteriespeicherJN*Direktnutzung_Batteriespeicher)*C10*0,19*(StrompreisNetto+Grundgebühr/Stromverbrauch)*(1+Strompreissteigerung)^A10)</t>
  </si>
  <si>
    <t>Umweltinstitut München e.V.
Goethestr. 20
80336 München
Tel: 089/307749-0
www.umweltinstitut.org</t>
  </si>
  <si>
    <t>Einkommenssteuerbefreiung (ja/nein)</t>
  </si>
  <si>
    <t>Zelle B53</t>
  </si>
  <si>
    <t>Schalter "Einkommensteuerbefreiung (Ja/Nein)"</t>
  </si>
  <si>
    <t>Spalte Z</t>
  </si>
  <si>
    <t xml:space="preserve">Steuerwirkung </t>
  </si>
  <si>
    <t>Reduktion</t>
  </si>
  <si>
    <t>Zuschuss für PV-Anlage</t>
  </si>
  <si>
    <t>Zelle B20</t>
  </si>
  <si>
    <t>Zelle B15</t>
  </si>
  <si>
    <t>Zelle B36</t>
  </si>
  <si>
    <t>Anfangs-Eigenkapital</t>
  </si>
  <si>
    <t xml:space="preserve">     Bereitstellung pro Monat</t>
  </si>
  <si>
    <t>Zelle U8</t>
  </si>
  <si>
    <t>(1-Bereitstellung1) -&gt; Bereitstellung1</t>
  </si>
  <si>
    <t>PV-Stromeinspeisung in die Batterie</t>
  </si>
  <si>
    <t>Direktnutzung in % des PV-Stromertrags</t>
  </si>
  <si>
    <t>Investitionsabzugsbetrag (IAB)</t>
  </si>
  <si>
    <t>Volleinspeisung? (ja/nein)</t>
  </si>
  <si>
    <t>EEG-Umlage auf Eigenverbrauch</t>
  </si>
  <si>
    <t>bei Volleinspeisung:</t>
  </si>
  <si>
    <t>EEG-Umlage-Anteil</t>
  </si>
  <si>
    <t>Ertrag</t>
  </si>
  <si>
    <t>IBNMonat</t>
  </si>
  <si>
    <t>Zelle L8</t>
  </si>
  <si>
    <t>Vorlaufkosten eingefügt</t>
  </si>
  <si>
    <t>MwSt-Satz</t>
  </si>
  <si>
    <t>Anfangs-Investition incl. MwSt.</t>
  </si>
  <si>
    <t>Investitionsabzugbetrag in % (max. 50%)</t>
  </si>
  <si>
    <t>Zelle B70</t>
  </si>
  <si>
    <t>Investitionsabzugbetrag in % (max. 40% -&gt; max. 50%). Kommentar geändert</t>
  </si>
  <si>
    <t>Stand: 29.03.2023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</si>
</sst>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
    <numFmt numFmtId="167" formatCode="#,##0.000"/>
    <numFmt numFmtId="168" formatCode="#,##0.0000"/>
    <numFmt numFmtId="169" formatCode="0.000"/>
    <numFmt numFmtId="170" formatCode="0.00000"/>
  </numFmts>
  <fonts count="44" x14ac:knownFonts="1">
    <font>
      <sz val="10"/>
      <name val="Arial"/>
    </font>
    <font>
      <sz val="10"/>
      <name val="Arial"/>
      <family val="2"/>
    </font>
    <font>
      <b/>
      <sz val="12"/>
      <color indexed="8"/>
      <name val="Arial"/>
      <family val="2"/>
    </font>
    <font>
      <sz val="10"/>
      <color indexed="8"/>
      <name val="Arial"/>
      <family val="2"/>
    </font>
    <font>
      <b/>
      <sz val="10"/>
      <color indexed="8"/>
      <name val="Arial"/>
      <family val="2"/>
    </font>
    <font>
      <b/>
      <sz val="10"/>
      <color indexed="10"/>
      <name val="Arial"/>
      <family val="2"/>
    </font>
    <font>
      <sz val="10"/>
      <color indexed="10"/>
      <name val="Arial"/>
      <family val="2"/>
    </font>
    <font>
      <sz val="9"/>
      <color indexed="8"/>
      <name val="Arial"/>
      <family val="2"/>
    </font>
    <font>
      <u/>
      <sz val="10"/>
      <color indexed="12"/>
      <name val="Arial"/>
      <family val="2"/>
    </font>
    <font>
      <b/>
      <sz val="12"/>
      <name val="Arial"/>
      <family val="2"/>
    </font>
    <font>
      <b/>
      <sz val="9"/>
      <color indexed="8"/>
      <name val="Arial"/>
      <family val="2"/>
    </font>
    <font>
      <sz val="9"/>
      <name val="Arial"/>
      <family val="2"/>
    </font>
    <font>
      <sz val="10"/>
      <color indexed="55"/>
      <name val="Arial"/>
      <family val="2"/>
    </font>
    <font>
      <b/>
      <u/>
      <sz val="10"/>
      <color indexed="12"/>
      <name val="Arial"/>
      <family val="2"/>
    </font>
    <font>
      <b/>
      <sz val="10"/>
      <name val="Arial"/>
      <family val="2"/>
    </font>
    <font>
      <sz val="10"/>
      <name val="Arial"/>
      <family val="2"/>
    </font>
    <font>
      <b/>
      <sz val="10"/>
      <color indexed="18"/>
      <name val="Arial"/>
      <family val="2"/>
    </font>
    <font>
      <sz val="10"/>
      <color indexed="18"/>
      <name val="Arial"/>
      <family val="2"/>
    </font>
    <font>
      <b/>
      <sz val="9"/>
      <color indexed="81"/>
      <name val="Tahoma"/>
      <family val="2"/>
    </font>
    <font>
      <sz val="10"/>
      <color indexed="23"/>
      <name val="Arial"/>
      <family val="2"/>
    </font>
    <font>
      <b/>
      <sz val="10"/>
      <color indexed="23"/>
      <name val="Arial"/>
      <family val="2"/>
    </font>
    <font>
      <sz val="9"/>
      <color indexed="23"/>
      <name val="Arial"/>
      <family val="2"/>
    </font>
    <font>
      <sz val="14"/>
      <name val="Arial"/>
      <family val="2"/>
    </font>
    <font>
      <b/>
      <sz val="11"/>
      <name val="Arial"/>
      <family val="2"/>
    </font>
    <font>
      <i/>
      <sz val="10"/>
      <name val="Arial"/>
      <family val="2"/>
    </font>
    <font>
      <b/>
      <sz val="9"/>
      <color indexed="81"/>
      <name val="Arial"/>
      <family val="2"/>
    </font>
    <font>
      <sz val="10"/>
      <color indexed="10"/>
      <name val="Arial"/>
      <family val="2"/>
    </font>
    <font>
      <sz val="10"/>
      <color indexed="56"/>
      <name val="Arial"/>
      <family val="2"/>
    </font>
    <font>
      <sz val="10"/>
      <color indexed="10"/>
      <name val="Arial"/>
      <family val="2"/>
    </font>
    <font>
      <sz val="10"/>
      <color indexed="23"/>
      <name val="Arial"/>
      <family val="2"/>
    </font>
    <font>
      <sz val="9"/>
      <color indexed="23"/>
      <name val="Arial"/>
      <family val="2"/>
    </font>
    <font>
      <sz val="10"/>
      <color indexed="23"/>
      <name val="Arial"/>
      <family val="2"/>
    </font>
    <font>
      <b/>
      <sz val="10"/>
      <color indexed="12"/>
      <name val="Arial"/>
      <family val="2"/>
    </font>
    <font>
      <sz val="9"/>
      <color indexed="12"/>
      <name val="Arial"/>
      <family val="2"/>
    </font>
    <font>
      <sz val="10"/>
      <color indexed="12"/>
      <name val="Arial"/>
      <family val="2"/>
    </font>
    <font>
      <sz val="9"/>
      <color indexed="81"/>
      <name val="Tahoma"/>
      <family val="2"/>
    </font>
    <font>
      <b/>
      <sz val="9"/>
      <color indexed="8"/>
      <name val="Tahoma"/>
      <family val="2"/>
    </font>
    <font>
      <sz val="10"/>
      <color indexed="10"/>
      <name val="Arial"/>
      <family val="2"/>
    </font>
    <font>
      <b/>
      <sz val="9"/>
      <color indexed="81"/>
      <name val="Segoe UI"/>
      <family val="2"/>
    </font>
    <font>
      <sz val="9"/>
      <color indexed="81"/>
      <name val="Segoe UI"/>
      <family val="2"/>
    </font>
    <font>
      <b/>
      <sz val="10"/>
      <color rgb="FFFF0000"/>
      <name val="Arial"/>
      <family val="2"/>
    </font>
    <font>
      <sz val="10"/>
      <color rgb="FFFF0000"/>
      <name val="Arial"/>
      <family val="2"/>
    </font>
    <font>
      <sz val="10"/>
      <color theme="0" tint="-0.499984740745262"/>
      <name val="Arial"/>
      <family val="2"/>
    </font>
    <font>
      <sz val="9"/>
      <color theme="0" tint="-0.499984740745262"/>
      <name val="Arial"/>
      <family val="2"/>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9"/>
        <bgColor indexed="26"/>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3">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225">
    <xf numFmtId="0" fontId="0" fillId="0" borderId="0" xfId="0"/>
    <xf numFmtId="0" fontId="0" fillId="0" borderId="0" xfId="0" applyAlignment="1">
      <alignment wrapText="1"/>
    </xf>
    <xf numFmtId="0" fontId="11" fillId="0" borderId="0" xfId="0" applyFont="1"/>
    <xf numFmtId="3" fontId="11" fillId="0" borderId="0" xfId="0" applyNumberFormat="1" applyFont="1"/>
    <xf numFmtId="3" fontId="11" fillId="0" borderId="0" xfId="0" applyNumberFormat="1" applyFont="1" applyAlignment="1">
      <alignment horizontal="right"/>
    </xf>
    <xf numFmtId="3" fontId="0" fillId="0" borderId="0" xfId="0" applyNumberFormat="1"/>
    <xf numFmtId="0" fontId="14" fillId="0" borderId="0" xfId="0" applyFont="1" applyAlignment="1">
      <alignment wrapText="1"/>
    </xf>
    <xf numFmtId="3" fontId="4" fillId="0" borderId="0" xfId="0" applyNumberFormat="1" applyFont="1" applyAlignment="1"/>
    <xf numFmtId="3" fontId="4" fillId="0" borderId="0" xfId="0" applyNumberFormat="1" applyFont="1" applyAlignment="1">
      <alignment horizontal="right"/>
    </xf>
    <xf numFmtId="4" fontId="4" fillId="0" borderId="0" xfId="0" applyNumberFormat="1" applyFont="1" applyAlignment="1"/>
    <xf numFmtId="3" fontId="3" fillId="0" borderId="0" xfId="0" applyNumberFormat="1" applyFont="1" applyAlignment="1"/>
    <xf numFmtId="3" fontId="3" fillId="0" borderId="0" xfId="0" applyNumberFormat="1" applyFont="1" applyAlignment="1">
      <alignment horizontal="right"/>
    </xf>
    <xf numFmtId="0" fontId="1" fillId="0" borderId="0" xfId="0" applyFont="1"/>
    <xf numFmtId="165" fontId="1" fillId="0" borderId="0" xfId="0" applyNumberFormat="1" applyFont="1"/>
    <xf numFmtId="165" fontId="1" fillId="0" borderId="1" xfId="0" applyNumberFormat="1" applyFont="1" applyBorder="1"/>
    <xf numFmtId="3" fontId="19" fillId="0" borderId="0" xfId="0" applyNumberFormat="1" applyFont="1" applyAlignment="1"/>
    <xf numFmtId="3" fontId="19" fillId="0" borderId="0" xfId="0" applyNumberFormat="1" applyFont="1" applyAlignment="1">
      <alignment horizontal="right"/>
    </xf>
    <xf numFmtId="3" fontId="21" fillId="0" borderId="0" xfId="0" applyNumberFormat="1" applyFont="1"/>
    <xf numFmtId="0" fontId="22" fillId="0" borderId="0" xfId="0" applyFont="1" applyFill="1"/>
    <xf numFmtId="0" fontId="14" fillId="0" borderId="0" xfId="0" applyFont="1" applyFill="1" applyBorder="1" applyAlignment="1">
      <alignment wrapText="1"/>
    </xf>
    <xf numFmtId="0" fontId="1" fillId="0" borderId="0" xfId="0" applyFont="1" applyFill="1"/>
    <xf numFmtId="4" fontId="3" fillId="0" borderId="0" xfId="0" applyNumberFormat="1" applyFont="1" applyFill="1" applyAlignment="1">
      <alignment horizontal="right"/>
    </xf>
    <xf numFmtId="4" fontId="3" fillId="0" borderId="0" xfId="0" applyNumberFormat="1" applyFont="1" applyFill="1" applyAlignment="1">
      <alignment horizontal="center"/>
    </xf>
    <xf numFmtId="0" fontId="14" fillId="0" borderId="0" xfId="0" applyFont="1" applyFill="1" applyBorder="1" applyAlignment="1">
      <alignment horizontal="right" wrapText="1"/>
    </xf>
    <xf numFmtId="3" fontId="13" fillId="0" borderId="0" xfId="1" applyNumberFormat="1" applyFont="1" applyFill="1" applyBorder="1" applyAlignment="1" applyProtection="1">
      <alignment horizontal="left" wrapText="1"/>
    </xf>
    <xf numFmtId="0" fontId="0" fillId="0" borderId="0" xfId="0" applyFill="1"/>
    <xf numFmtId="0" fontId="14" fillId="0" borderId="0" xfId="0" applyFont="1" applyAlignment="1"/>
    <xf numFmtId="0" fontId="0" fillId="0" borderId="0" xfId="0" applyBorder="1" applyAlignment="1">
      <alignment wrapText="1"/>
    </xf>
    <xf numFmtId="0" fontId="14" fillId="0" borderId="2" xfId="0" applyFont="1" applyBorder="1" applyAlignment="1">
      <alignment horizontal="justify" wrapText="1"/>
    </xf>
    <xf numFmtId="0" fontId="1" fillId="0" borderId="2" xfId="0" applyFont="1" applyBorder="1" applyAlignment="1">
      <alignment horizontal="left" wrapText="1"/>
    </xf>
    <xf numFmtId="0" fontId="14" fillId="0" borderId="2" xfId="0" applyFont="1" applyBorder="1" applyAlignment="1">
      <alignment horizontal="left" wrapText="1"/>
    </xf>
    <xf numFmtId="0" fontId="0" fillId="0" borderId="2" xfId="0" applyBorder="1" applyAlignment="1">
      <alignment horizontal="left" wrapText="1"/>
    </xf>
    <xf numFmtId="0" fontId="14" fillId="0" borderId="2" xfId="0" applyFont="1" applyFill="1" applyBorder="1" applyAlignment="1">
      <alignment horizontal="left" wrapText="1"/>
    </xf>
    <xf numFmtId="0" fontId="24" fillId="0" borderId="0" xfId="0" applyFont="1" applyBorder="1" applyAlignment="1">
      <alignment horizontal="left" wrapText="1"/>
    </xf>
    <xf numFmtId="3" fontId="3" fillId="2" borderId="2" xfId="0" applyNumberFormat="1" applyFont="1" applyFill="1" applyBorder="1" applyAlignment="1" applyProtection="1">
      <alignment horizontal="right"/>
      <protection locked="0"/>
    </xf>
    <xf numFmtId="165" fontId="3" fillId="2" borderId="2" xfId="2" applyNumberFormat="1" applyFont="1" applyFill="1" applyBorder="1" applyAlignment="1" applyProtection="1">
      <alignment horizontal="right"/>
      <protection locked="0"/>
    </xf>
    <xf numFmtId="10" fontId="3" fillId="2" borderId="2" xfId="2" applyNumberFormat="1" applyFont="1" applyFill="1" applyBorder="1" applyAlignment="1" applyProtection="1">
      <alignment horizontal="right"/>
      <protection locked="0"/>
    </xf>
    <xf numFmtId="9" fontId="3" fillId="2" borderId="2" xfId="2" applyNumberFormat="1" applyFont="1" applyFill="1" applyBorder="1" applyAlignment="1" applyProtection="1">
      <alignment horizontal="right"/>
      <protection locked="0"/>
    </xf>
    <xf numFmtId="9" fontId="3" fillId="2" borderId="2" xfId="2" applyFont="1" applyFill="1" applyBorder="1" applyAlignment="1" applyProtection="1">
      <alignment horizontal="right"/>
      <protection locked="0"/>
    </xf>
    <xf numFmtId="1" fontId="3" fillId="2" borderId="2" xfId="2" applyNumberFormat="1" applyFont="1" applyFill="1" applyBorder="1" applyAlignment="1" applyProtection="1">
      <alignment horizontal="right"/>
      <protection locked="0"/>
    </xf>
    <xf numFmtId="164" fontId="0" fillId="0" borderId="0" xfId="0" applyNumberFormat="1"/>
    <xf numFmtId="164" fontId="27" fillId="0" borderId="0" xfId="0" applyNumberFormat="1" applyFont="1"/>
    <xf numFmtId="164" fontId="28" fillId="0" borderId="0" xfId="0" applyNumberFormat="1" applyFont="1"/>
    <xf numFmtId="165" fontId="0" fillId="0" borderId="0" xfId="2" applyNumberFormat="1" applyFont="1"/>
    <xf numFmtId="1" fontId="3" fillId="0" borderId="0" xfId="0" applyNumberFormat="1" applyFont="1" applyAlignment="1">
      <alignment horizontal="right"/>
    </xf>
    <xf numFmtId="4" fontId="29" fillId="2" borderId="0" xfId="0" applyNumberFormat="1" applyFont="1" applyFill="1" applyAlignment="1" applyProtection="1">
      <alignment horizontal="center"/>
    </xf>
    <xf numFmtId="3" fontId="29" fillId="2" borderId="0" xfId="0" applyNumberFormat="1" applyFont="1" applyFill="1" applyAlignment="1" applyProtection="1">
      <alignment horizontal="center"/>
    </xf>
    <xf numFmtId="4" fontId="7" fillId="2" borderId="0" xfId="0" applyNumberFormat="1" applyFont="1" applyFill="1" applyAlignment="1" applyProtection="1">
      <alignment horizontal="right"/>
    </xf>
    <xf numFmtId="4" fontId="7" fillId="2" borderId="0" xfId="0" applyNumberFormat="1" applyFont="1" applyFill="1" applyAlignment="1" applyProtection="1">
      <alignment horizontal="center"/>
    </xf>
    <xf numFmtId="4" fontId="3" fillId="2" borderId="0" xfId="0" applyNumberFormat="1" applyFont="1" applyFill="1" applyAlignment="1" applyProtection="1">
      <alignment horizontal="center"/>
    </xf>
    <xf numFmtId="0" fontId="9" fillId="2" borderId="0" xfId="0" applyFont="1" applyFill="1"/>
    <xf numFmtId="0" fontId="14" fillId="2" borderId="0" xfId="0" applyFont="1" applyFill="1"/>
    <xf numFmtId="0" fontId="15" fillId="2" borderId="0" xfId="0" applyFont="1" applyFill="1"/>
    <xf numFmtId="0" fontId="19" fillId="2" borderId="0" xfId="0" applyFont="1" applyFill="1"/>
    <xf numFmtId="4" fontId="3" fillId="2" borderId="0" xfId="0" applyNumberFormat="1" applyFont="1" applyFill="1" applyAlignment="1">
      <alignment horizontal="right"/>
    </xf>
    <xf numFmtId="4" fontId="19" fillId="2" borderId="0" xfId="0" applyNumberFormat="1" applyFont="1" applyFill="1" applyAlignment="1">
      <alignment horizontal="right"/>
    </xf>
    <xf numFmtId="4" fontId="3" fillId="2" borderId="0" xfId="0" applyNumberFormat="1" applyFont="1" applyFill="1" applyAlignment="1">
      <alignment horizontal="center"/>
    </xf>
    <xf numFmtId="3" fontId="3" fillId="2" borderId="0" xfId="0" applyNumberFormat="1" applyFont="1" applyFill="1" applyAlignment="1">
      <alignment horizontal="center"/>
    </xf>
    <xf numFmtId="0" fontId="24" fillId="0" borderId="0" xfId="0" applyNumberFormat="1" applyFont="1" applyBorder="1" applyAlignment="1">
      <alignment horizontal="left" wrapText="1"/>
    </xf>
    <xf numFmtId="0" fontId="9" fillId="2" borderId="0" xfId="0" applyFont="1" applyFill="1" applyProtection="1"/>
    <xf numFmtId="0" fontId="9" fillId="2" borderId="0" xfId="0" applyFont="1" applyFill="1" applyAlignment="1" applyProtection="1">
      <alignment horizontal="right"/>
    </xf>
    <xf numFmtId="4" fontId="2" fillId="2" borderId="0" xfId="0" applyNumberFormat="1" applyFont="1" applyFill="1" applyAlignment="1" applyProtection="1">
      <alignment horizontal="right"/>
    </xf>
    <xf numFmtId="4" fontId="2" fillId="2" borderId="0" xfId="0" applyNumberFormat="1" applyFont="1" applyFill="1" applyAlignment="1" applyProtection="1">
      <alignment horizontal="center"/>
    </xf>
    <xf numFmtId="0" fontId="14" fillId="2" borderId="0" xfId="0" applyFont="1" applyFill="1" applyProtection="1"/>
    <xf numFmtId="0" fontId="14" fillId="2" borderId="0" xfId="0" applyFont="1" applyFill="1" applyAlignment="1" applyProtection="1">
      <alignment horizontal="right"/>
    </xf>
    <xf numFmtId="4" fontId="10" fillId="2" borderId="0" xfId="0" applyNumberFormat="1" applyFont="1" applyFill="1" applyAlignment="1" applyProtection="1">
      <alignment horizontal="right"/>
    </xf>
    <xf numFmtId="4" fontId="10" fillId="2" borderId="0" xfId="0" applyNumberFormat="1" applyFont="1" applyFill="1" applyAlignment="1" applyProtection="1">
      <alignment horizontal="center"/>
    </xf>
    <xf numFmtId="0" fontId="0" fillId="2" borderId="0" xfId="0" applyFill="1" applyAlignment="1" applyProtection="1">
      <alignment horizontal="right"/>
    </xf>
    <xf numFmtId="0" fontId="0" fillId="2" borderId="0" xfId="0" applyFill="1" applyProtection="1"/>
    <xf numFmtId="4" fontId="30" fillId="2" borderId="0" xfId="0" applyNumberFormat="1" applyFont="1" applyFill="1" applyAlignment="1" applyProtection="1">
      <alignment horizontal="right"/>
    </xf>
    <xf numFmtId="4" fontId="30" fillId="2" borderId="0" xfId="0" applyNumberFormat="1" applyFont="1" applyFill="1" applyAlignment="1" applyProtection="1">
      <alignment horizontal="center"/>
    </xf>
    <xf numFmtId="3" fontId="16" fillId="2" borderId="0" xfId="0" applyNumberFormat="1" applyFont="1" applyFill="1" applyAlignment="1" applyProtection="1">
      <alignment horizontal="left"/>
    </xf>
    <xf numFmtId="4" fontId="17" fillId="2" borderId="0" xfId="0" applyNumberFormat="1" applyFont="1" applyFill="1" applyAlignment="1" applyProtection="1">
      <alignment horizontal="right"/>
    </xf>
    <xf numFmtId="4" fontId="17" fillId="2" borderId="0" xfId="0" applyNumberFormat="1" applyFont="1" applyFill="1" applyAlignment="1" applyProtection="1">
      <alignment horizontal="center"/>
    </xf>
    <xf numFmtId="3" fontId="4" fillId="2" borderId="0" xfId="0" applyNumberFormat="1" applyFont="1" applyFill="1" applyAlignment="1" applyProtection="1">
      <alignment horizontal="left"/>
    </xf>
    <xf numFmtId="4" fontId="6" fillId="2" borderId="0" xfId="0" applyNumberFormat="1" applyFont="1" applyFill="1" applyAlignment="1" applyProtection="1">
      <alignment horizontal="right"/>
    </xf>
    <xf numFmtId="4" fontId="6" fillId="2" borderId="0" xfId="0" applyNumberFormat="1" applyFont="1" applyFill="1" applyAlignment="1" applyProtection="1">
      <alignment horizontal="center"/>
    </xf>
    <xf numFmtId="4" fontId="4" fillId="2" borderId="0" xfId="0" applyNumberFormat="1" applyFont="1" applyFill="1" applyAlignment="1" applyProtection="1">
      <alignment horizontal="left"/>
    </xf>
    <xf numFmtId="4" fontId="10" fillId="2" borderId="0" xfId="0" applyNumberFormat="1" applyFont="1" applyFill="1" applyAlignment="1" applyProtection="1">
      <alignment horizontal="left"/>
    </xf>
    <xf numFmtId="3" fontId="4" fillId="2" borderId="0" xfId="2" applyNumberFormat="1" applyFont="1" applyFill="1" applyAlignment="1" applyProtection="1">
      <alignment horizontal="right"/>
    </xf>
    <xf numFmtId="4" fontId="4" fillId="2" borderId="0" xfId="0" applyNumberFormat="1" applyFont="1" applyFill="1" applyAlignment="1" applyProtection="1">
      <alignment horizontal="right"/>
    </xf>
    <xf numFmtId="4" fontId="4" fillId="2" borderId="0" xfId="0" applyNumberFormat="1" applyFont="1" applyFill="1" applyAlignment="1" applyProtection="1">
      <alignment horizontal="center"/>
    </xf>
    <xf numFmtId="3" fontId="3" fillId="2" borderId="0" xfId="0" applyNumberFormat="1" applyFont="1" applyFill="1" applyAlignment="1" applyProtection="1">
      <alignment horizontal="left"/>
    </xf>
    <xf numFmtId="4" fontId="3" fillId="2" borderId="0" xfId="0" applyNumberFormat="1" applyFont="1" applyFill="1" applyAlignment="1" applyProtection="1">
      <alignment horizontal="left"/>
    </xf>
    <xf numFmtId="4" fontId="3" fillId="2" borderId="0" xfId="0" applyNumberFormat="1" applyFont="1" applyFill="1" applyAlignment="1" applyProtection="1">
      <alignment horizontal="right"/>
    </xf>
    <xf numFmtId="4" fontId="3" fillId="2" borderId="0" xfId="0" applyNumberFormat="1" applyFont="1" applyFill="1" applyAlignment="1" applyProtection="1"/>
    <xf numFmtId="4" fontId="26" fillId="2" borderId="0" xfId="0" applyNumberFormat="1" applyFont="1" applyFill="1" applyAlignment="1" applyProtection="1">
      <alignment horizontal="left"/>
    </xf>
    <xf numFmtId="4" fontId="26" fillId="2" borderId="0" xfId="0" applyNumberFormat="1" applyFont="1" applyFill="1" applyAlignment="1" applyProtection="1">
      <alignment horizontal="center"/>
    </xf>
    <xf numFmtId="3" fontId="3" fillId="2" borderId="0" xfId="0" applyNumberFormat="1" applyFont="1" applyFill="1" applyAlignment="1" applyProtection="1">
      <alignment horizontal="right"/>
    </xf>
    <xf numFmtId="4" fontId="6" fillId="2" borderId="0" xfId="0" applyNumberFormat="1" applyFont="1" applyFill="1" applyAlignment="1" applyProtection="1">
      <alignment horizontal="left"/>
    </xf>
    <xf numFmtId="165" fontId="3" fillId="2" borderId="0" xfId="0" applyNumberFormat="1" applyFont="1" applyFill="1" applyAlignment="1">
      <alignment horizontal="right"/>
    </xf>
    <xf numFmtId="168" fontId="12" fillId="2" borderId="0" xfId="0" applyNumberFormat="1" applyFont="1" applyFill="1" applyAlignment="1" applyProtection="1">
      <alignment horizontal="right"/>
    </xf>
    <xf numFmtId="3" fontId="7" fillId="2" borderId="0" xfId="0" applyNumberFormat="1" applyFont="1" applyFill="1" applyAlignment="1" applyProtection="1">
      <alignment horizontal="left"/>
    </xf>
    <xf numFmtId="4" fontId="8" fillId="2" borderId="0" xfId="1" applyNumberFormat="1" applyFill="1" applyAlignment="1" applyProtection="1">
      <alignment horizontal="left"/>
    </xf>
    <xf numFmtId="4" fontId="7" fillId="2" borderId="0" xfId="0" applyNumberFormat="1" applyFont="1" applyFill="1" applyAlignment="1" applyProtection="1">
      <alignment horizontal="left"/>
    </xf>
    <xf numFmtId="4" fontId="30" fillId="2" borderId="0" xfId="0" applyNumberFormat="1" applyFont="1" applyFill="1" applyAlignment="1" applyProtection="1">
      <alignment horizontal="left"/>
    </xf>
    <xf numFmtId="165" fontId="5" fillId="2" borderId="0" xfId="2" applyNumberFormat="1" applyFont="1" applyFill="1" applyBorder="1" applyAlignment="1" applyProtection="1">
      <alignment horizontal="right"/>
    </xf>
    <xf numFmtId="167" fontId="4" fillId="2" borderId="0" xfId="2" applyNumberFormat="1" applyFont="1" applyFill="1" applyBorder="1" applyAlignment="1" applyProtection="1">
      <alignment horizontal="right"/>
    </xf>
    <xf numFmtId="3" fontId="4" fillId="2" borderId="0" xfId="2" applyNumberFormat="1" applyFont="1" applyFill="1" applyBorder="1" applyAlignment="1" applyProtection="1">
      <alignment horizontal="right"/>
    </xf>
    <xf numFmtId="0" fontId="0" fillId="0" borderId="0" xfId="0" applyAlignment="1">
      <alignment horizontal="right"/>
    </xf>
    <xf numFmtId="164" fontId="0" fillId="0" borderId="0" xfId="0" applyNumberFormat="1" applyAlignment="1">
      <alignment horizontal="right"/>
    </xf>
    <xf numFmtId="4" fontId="31" fillId="3" borderId="0" xfId="0" applyNumberFormat="1" applyFont="1" applyFill="1" applyAlignment="1" applyProtection="1">
      <alignment horizontal="left"/>
    </xf>
    <xf numFmtId="4" fontId="7" fillId="3" borderId="0" xfId="0" applyNumberFormat="1" applyFont="1" applyFill="1" applyAlignment="1" applyProtection="1">
      <alignment horizontal="right"/>
    </xf>
    <xf numFmtId="0" fontId="14" fillId="0" borderId="0" xfId="0" applyFont="1"/>
    <xf numFmtId="3" fontId="20" fillId="0" borderId="0" xfId="0" applyNumberFormat="1" applyFont="1"/>
    <xf numFmtId="3" fontId="14" fillId="0" borderId="0" xfId="0" applyNumberFormat="1" applyFont="1" applyAlignment="1">
      <alignment horizontal="right"/>
    </xf>
    <xf numFmtId="0" fontId="20" fillId="2" borderId="0" xfId="0" applyFont="1" applyFill="1"/>
    <xf numFmtId="4" fontId="4" fillId="2" borderId="0" xfId="0" applyNumberFormat="1" applyFont="1" applyFill="1" applyAlignment="1">
      <alignment horizontal="right"/>
    </xf>
    <xf numFmtId="4" fontId="20" fillId="2" borderId="0" xfId="0" applyNumberFormat="1" applyFont="1" applyFill="1" applyAlignment="1">
      <alignment horizontal="right"/>
    </xf>
    <xf numFmtId="4" fontId="4" fillId="2" borderId="0" xfId="0" applyNumberFormat="1" applyFont="1" applyFill="1" applyAlignment="1">
      <alignment horizontal="center"/>
    </xf>
    <xf numFmtId="3" fontId="4" fillId="2" borderId="0" xfId="0" applyNumberFormat="1" applyFont="1" applyFill="1" applyAlignment="1">
      <alignment horizontal="center"/>
    </xf>
    <xf numFmtId="3" fontId="3" fillId="2" borderId="0" xfId="0" applyNumberFormat="1" applyFont="1" applyFill="1" applyBorder="1" applyAlignment="1" applyProtection="1">
      <alignment horizontal="right"/>
    </xf>
    <xf numFmtId="4" fontId="2" fillId="3" borderId="0" xfId="0" applyNumberFormat="1" applyFont="1" applyFill="1" applyAlignment="1" applyProtection="1">
      <alignment horizontal="center"/>
    </xf>
    <xf numFmtId="0" fontId="11" fillId="0" borderId="0" xfId="0" applyFont="1" applyFill="1" applyBorder="1"/>
    <xf numFmtId="0" fontId="14" fillId="0" borderId="0" xfId="0" applyFont="1" applyFill="1" applyBorder="1"/>
    <xf numFmtId="3" fontId="11" fillId="0" borderId="0" xfId="0" applyNumberFormat="1" applyFont="1" applyFill="1" applyBorder="1"/>
    <xf numFmtId="4" fontId="14" fillId="0" borderId="0" xfId="0" applyNumberFormat="1" applyFont="1" applyFill="1" applyBorder="1" applyAlignment="1">
      <alignment horizontal="center"/>
    </xf>
    <xf numFmtId="4" fontId="15" fillId="0" borderId="0" xfId="0" applyNumberFormat="1" applyFont="1" applyFill="1" applyBorder="1" applyAlignment="1">
      <alignment horizontal="center"/>
    </xf>
    <xf numFmtId="4" fontId="14" fillId="0" borderId="0" xfId="0" applyNumberFormat="1" applyFont="1" applyFill="1" applyBorder="1" applyAlignment="1"/>
    <xf numFmtId="4" fontId="14" fillId="0" borderId="0" xfId="0" applyNumberFormat="1" applyFont="1" applyFill="1" applyBorder="1" applyAlignment="1">
      <alignment horizontal="left"/>
    </xf>
    <xf numFmtId="3" fontId="19" fillId="0" borderId="1" xfId="0" applyNumberFormat="1" applyFont="1" applyBorder="1" applyAlignment="1"/>
    <xf numFmtId="3" fontId="3" fillId="0" borderId="1" xfId="0" applyNumberFormat="1" applyFont="1" applyBorder="1" applyAlignment="1">
      <alignment horizontal="right"/>
    </xf>
    <xf numFmtId="1" fontId="3" fillId="0" borderId="1" xfId="0" applyNumberFormat="1" applyFont="1" applyBorder="1" applyAlignment="1">
      <alignment horizontal="right"/>
    </xf>
    <xf numFmtId="3" fontId="19" fillId="0" borderId="1" xfId="0" applyNumberFormat="1" applyFont="1" applyBorder="1" applyAlignment="1">
      <alignment horizontal="right"/>
    </xf>
    <xf numFmtId="3" fontId="3" fillId="0" borderId="1" xfId="0" applyNumberFormat="1" applyFont="1" applyBorder="1" applyAlignment="1"/>
    <xf numFmtId="9" fontId="19" fillId="0" borderId="0" xfId="2" applyFont="1" applyAlignment="1"/>
    <xf numFmtId="0" fontId="15" fillId="0" borderId="0" xfId="0" applyFont="1"/>
    <xf numFmtId="3" fontId="15" fillId="0" borderId="0" xfId="0" applyNumberFormat="1" applyFont="1"/>
    <xf numFmtId="3" fontId="19" fillId="0" borderId="0" xfId="0" applyNumberFormat="1" applyFont="1"/>
    <xf numFmtId="3" fontId="1" fillId="0" borderId="0" xfId="0" applyNumberFormat="1" applyFont="1"/>
    <xf numFmtId="3" fontId="1" fillId="0" borderId="0" xfId="0" applyNumberFormat="1" applyFont="1" applyAlignment="1">
      <alignment horizontal="right"/>
    </xf>
    <xf numFmtId="165" fontId="1" fillId="0" borderId="0" xfId="2" applyNumberFormat="1" applyFont="1"/>
    <xf numFmtId="3" fontId="1" fillId="0" borderId="0" xfId="0" applyNumberFormat="1" applyFont="1" applyBorder="1"/>
    <xf numFmtId="0" fontId="1" fillId="0" borderId="0" xfId="0" applyFont="1" applyFill="1" applyBorder="1"/>
    <xf numFmtId="0" fontId="1" fillId="0" borderId="1" xfId="0" applyFont="1" applyBorder="1"/>
    <xf numFmtId="3" fontId="1" fillId="0" borderId="1" xfId="0" applyNumberFormat="1" applyFont="1" applyBorder="1"/>
    <xf numFmtId="3" fontId="19" fillId="0" borderId="1" xfId="0" applyNumberFormat="1" applyFont="1" applyBorder="1"/>
    <xf numFmtId="3" fontId="1" fillId="0" borderId="1" xfId="0" applyNumberFormat="1" applyFont="1" applyBorder="1" applyAlignment="1">
      <alignment horizontal="right"/>
    </xf>
    <xf numFmtId="165" fontId="1" fillId="0" borderId="1" xfId="2" applyNumberFormat="1" applyFont="1" applyBorder="1"/>
    <xf numFmtId="3" fontId="11" fillId="0" borderId="0" xfId="0" quotePrefix="1" applyNumberFormat="1" applyFont="1"/>
    <xf numFmtId="3" fontId="33" fillId="0" borderId="0" xfId="0" quotePrefix="1" applyNumberFormat="1" applyFont="1"/>
    <xf numFmtId="4" fontId="34" fillId="2" borderId="0" xfId="0" applyNumberFormat="1" applyFont="1" applyFill="1" applyAlignment="1" applyProtection="1">
      <alignment horizontal="left"/>
    </xf>
    <xf numFmtId="4" fontId="32" fillId="2" borderId="0" xfId="0" applyNumberFormat="1" applyFont="1" applyFill="1" applyAlignment="1" applyProtection="1">
      <alignment horizontal="left"/>
    </xf>
    <xf numFmtId="4" fontId="34" fillId="2" borderId="0" xfId="0" quotePrefix="1" applyNumberFormat="1" applyFont="1" applyFill="1" applyAlignment="1" applyProtection="1">
      <alignment horizontal="left"/>
    </xf>
    <xf numFmtId="0" fontId="11" fillId="0" borderId="0" xfId="0" quotePrefix="1" applyFont="1" applyAlignment="1">
      <alignment horizontal="right"/>
    </xf>
    <xf numFmtId="0" fontId="11" fillId="0" borderId="0" xfId="0" applyFont="1" applyAlignment="1">
      <alignment horizontal="right"/>
    </xf>
    <xf numFmtId="3" fontId="32" fillId="2" borderId="0" xfId="0" applyNumberFormat="1" applyFont="1" applyFill="1" applyAlignment="1" applyProtection="1">
      <alignment horizontal="left"/>
    </xf>
    <xf numFmtId="3" fontId="33" fillId="2" borderId="0" xfId="0" applyNumberFormat="1" applyFont="1" applyFill="1" applyAlignment="1" applyProtection="1">
      <alignment horizontal="left"/>
    </xf>
    <xf numFmtId="3" fontId="33" fillId="0" borderId="0" xfId="0" applyNumberFormat="1" applyFont="1"/>
    <xf numFmtId="3" fontId="14" fillId="0" borderId="1" xfId="0" applyNumberFormat="1" applyFont="1" applyBorder="1" applyAlignment="1">
      <alignment horizontal="right"/>
    </xf>
    <xf numFmtId="164" fontId="37" fillId="0" borderId="0" xfId="0" applyNumberFormat="1" applyFont="1"/>
    <xf numFmtId="9" fontId="15" fillId="2" borderId="0" xfId="2" applyFont="1" applyFill="1"/>
    <xf numFmtId="0" fontId="1" fillId="2" borderId="0" xfId="0" applyFont="1" applyFill="1"/>
    <xf numFmtId="4" fontId="3" fillId="2" borderId="0" xfId="0" applyNumberFormat="1" applyFont="1" applyFill="1" applyBorder="1" applyAlignment="1" applyProtection="1">
      <alignment horizontal="right"/>
      <protection locked="0"/>
    </xf>
    <xf numFmtId="166" fontId="3" fillId="4" borderId="3" xfId="0" applyNumberFormat="1"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3" fontId="0" fillId="4" borderId="3" xfId="0" applyNumberFormat="1" applyFont="1" applyFill="1" applyBorder="1" applyAlignment="1" applyProtection="1">
      <alignment horizontal="right"/>
      <protection locked="0"/>
    </xf>
    <xf numFmtId="10" fontId="3" fillId="4" borderId="3" xfId="2" applyNumberFormat="1" applyFont="1" applyFill="1" applyBorder="1" applyAlignment="1" applyProtection="1">
      <alignment horizontal="right"/>
      <protection locked="0"/>
    </xf>
    <xf numFmtId="9" fontId="3" fillId="4" borderId="3" xfId="2" applyNumberFormat="1" applyFont="1" applyFill="1" applyBorder="1" applyAlignment="1" applyProtection="1">
      <alignment horizontal="right"/>
      <protection locked="0"/>
    </xf>
    <xf numFmtId="9" fontId="3" fillId="4" borderId="3" xfId="2" applyFont="1" applyFill="1" applyBorder="1" applyAlignment="1" applyProtection="1">
      <alignment horizontal="right"/>
      <protection locked="0"/>
    </xf>
    <xf numFmtId="1" fontId="3" fillId="4" borderId="3" xfId="2" applyNumberFormat="1" applyFont="1" applyFill="1" applyBorder="1" applyAlignment="1" applyProtection="1">
      <alignment horizontal="right"/>
      <protection locked="0"/>
    </xf>
    <xf numFmtId="168" fontId="7" fillId="2" borderId="0" xfId="0" applyNumberFormat="1" applyFont="1" applyFill="1" applyAlignment="1" applyProtection="1">
      <alignment horizontal="right"/>
    </xf>
    <xf numFmtId="4" fontId="21" fillId="2" borderId="0" xfId="0" applyNumberFormat="1" applyFont="1" applyFill="1" applyAlignment="1" applyProtection="1">
      <alignment horizontal="right"/>
    </xf>
    <xf numFmtId="3" fontId="29" fillId="2" borderId="0" xfId="0" applyNumberFormat="1" applyFont="1" applyFill="1" applyAlignment="1" applyProtection="1"/>
    <xf numFmtId="170" fontId="29" fillId="2" borderId="0" xfId="0" applyNumberFormat="1" applyFont="1" applyFill="1" applyAlignment="1" applyProtection="1">
      <alignment horizontal="right"/>
    </xf>
    <xf numFmtId="2" fontId="15" fillId="2" borderId="0" xfId="0" applyNumberFormat="1" applyFont="1" applyFill="1"/>
    <xf numFmtId="0" fontId="9" fillId="2" borderId="0" xfId="0" applyFont="1" applyFill="1" applyAlignment="1" applyProtection="1">
      <alignment horizontal="left"/>
    </xf>
    <xf numFmtId="0" fontId="14" fillId="2" borderId="0" xfId="0" applyFont="1" applyFill="1" applyAlignment="1" applyProtection="1">
      <alignment horizontal="left"/>
    </xf>
    <xf numFmtId="0" fontId="0" fillId="2" borderId="0" xfId="0" applyFill="1" applyAlignment="1" applyProtection="1">
      <alignment horizontal="left"/>
    </xf>
    <xf numFmtId="4" fontId="17" fillId="2" borderId="0" xfId="0" applyNumberFormat="1" applyFont="1" applyFill="1" applyAlignment="1" applyProtection="1">
      <alignment horizontal="left"/>
    </xf>
    <xf numFmtId="165" fontId="3" fillId="2" borderId="0" xfId="2" applyNumberFormat="1" applyFont="1" applyFill="1" applyAlignment="1" applyProtection="1">
      <alignment horizontal="left"/>
    </xf>
    <xf numFmtId="0" fontId="8" fillId="2" borderId="0" xfId="1" applyFill="1" applyAlignment="1" applyProtection="1">
      <alignment horizontal="left"/>
    </xf>
    <xf numFmtId="4" fontId="7" fillId="3" borderId="0" xfId="0" applyNumberFormat="1" applyFont="1" applyFill="1" applyAlignment="1" applyProtection="1">
      <alignment horizontal="left"/>
    </xf>
    <xf numFmtId="1" fontId="29" fillId="2" borderId="0" xfId="0" applyNumberFormat="1" applyFont="1" applyFill="1" applyAlignment="1" applyProtection="1">
      <alignment horizontal="left"/>
    </xf>
    <xf numFmtId="4" fontId="29" fillId="2" borderId="0" xfId="0" applyNumberFormat="1" applyFont="1" applyFill="1" applyAlignment="1" applyProtection="1">
      <alignment horizontal="left"/>
    </xf>
    <xf numFmtId="4" fontId="40" fillId="2" borderId="0" xfId="0" applyNumberFormat="1" applyFont="1" applyFill="1" applyAlignment="1" applyProtection="1">
      <alignment horizontal="right"/>
    </xf>
    <xf numFmtId="3" fontId="26" fillId="2" borderId="0" xfId="0" applyNumberFormat="1" applyFont="1" applyFill="1" applyAlignment="1" applyProtection="1">
      <alignment horizontal="right"/>
    </xf>
    <xf numFmtId="9" fontId="3" fillId="2" borderId="0" xfId="2" applyFont="1" applyFill="1" applyAlignment="1" applyProtection="1">
      <alignment horizontal="right"/>
    </xf>
    <xf numFmtId="3" fontId="6" fillId="2" borderId="0" xfId="0" applyNumberFormat="1" applyFont="1" applyFill="1" applyAlignment="1" applyProtection="1">
      <alignment horizontal="right"/>
    </xf>
    <xf numFmtId="9" fontId="3" fillId="2" borderId="0" xfId="0" applyNumberFormat="1" applyFont="1" applyFill="1" applyAlignment="1">
      <alignment horizontal="right"/>
    </xf>
    <xf numFmtId="4" fontId="1" fillId="2" borderId="0" xfId="0" applyNumberFormat="1" applyFont="1" applyFill="1" applyAlignment="1" applyProtection="1">
      <alignment horizontal="right"/>
    </xf>
    <xf numFmtId="9" fontId="29" fillId="2" borderId="0" xfId="2" applyFont="1" applyFill="1" applyAlignment="1" applyProtection="1">
      <alignment horizontal="right"/>
    </xf>
    <xf numFmtId="4" fontId="29" fillId="2" borderId="0" xfId="0" applyNumberFormat="1" applyFont="1" applyFill="1" applyAlignment="1" applyProtection="1">
      <alignment horizontal="right"/>
    </xf>
    <xf numFmtId="168" fontId="40" fillId="0" borderId="1" xfId="0" applyNumberFormat="1" applyFont="1" applyFill="1" applyBorder="1" applyAlignment="1" applyProtection="1">
      <alignment horizontal="right"/>
    </xf>
    <xf numFmtId="165" fontId="40" fillId="0" borderId="0" xfId="2" applyNumberFormat="1" applyFont="1"/>
    <xf numFmtId="3" fontId="40" fillId="0" borderId="0" xfId="0" applyNumberFormat="1" applyFont="1" applyAlignment="1">
      <alignment horizontal="right"/>
    </xf>
    <xf numFmtId="164" fontId="41" fillId="0" borderId="0" xfId="0" applyNumberFormat="1" applyFont="1"/>
    <xf numFmtId="4" fontId="41" fillId="2" borderId="0" xfId="0" applyNumberFormat="1" applyFont="1" applyFill="1" applyAlignment="1" applyProtection="1">
      <alignment horizontal="left"/>
    </xf>
    <xf numFmtId="9" fontId="0" fillId="0" borderId="0" xfId="2" applyFont="1"/>
    <xf numFmtId="4" fontId="14"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3" fontId="1" fillId="0" borderId="0" xfId="0" applyNumberFormat="1" applyFont="1" applyFill="1" applyBorder="1" applyAlignment="1">
      <alignment horizontal="right"/>
    </xf>
    <xf numFmtId="3" fontId="40" fillId="2" borderId="0" xfId="2" applyNumberFormat="1" applyFont="1" applyFill="1" applyBorder="1" applyAlignment="1" applyProtection="1">
      <alignment horizontal="right"/>
    </xf>
    <xf numFmtId="165" fontId="3" fillId="4" borderId="3" xfId="2" applyNumberFormat="1" applyFont="1" applyFill="1" applyBorder="1" applyAlignment="1" applyProtection="1">
      <alignment horizontal="right"/>
      <protection locked="0"/>
    </xf>
    <xf numFmtId="3" fontId="3" fillId="4" borderId="4" xfId="0" applyNumberFormat="1" applyFont="1" applyFill="1" applyBorder="1" applyAlignment="1" applyProtection="1">
      <alignment horizontal="right"/>
      <protection locked="0"/>
    </xf>
    <xf numFmtId="9" fontId="3" fillId="0" borderId="0" xfId="2" applyFont="1" applyAlignment="1">
      <alignment horizontal="right"/>
    </xf>
    <xf numFmtId="9" fontId="3" fillId="0" borderId="1" xfId="2" applyFont="1" applyBorder="1" applyAlignment="1">
      <alignment horizontal="right"/>
    </xf>
    <xf numFmtId="3" fontId="3" fillId="0" borderId="0" xfId="0" applyNumberFormat="1" applyFont="1" applyBorder="1" applyAlignment="1">
      <alignment horizontal="right"/>
    </xf>
    <xf numFmtId="3" fontId="1" fillId="0" borderId="0" xfId="0" applyNumberFormat="1" applyFont="1" applyAlignment="1"/>
    <xf numFmtId="3" fontId="16" fillId="2" borderId="0" xfId="0" applyNumberFormat="1" applyFont="1" applyFill="1" applyAlignment="1" applyProtection="1">
      <alignment horizontal="right"/>
    </xf>
    <xf numFmtId="4" fontId="16" fillId="2" borderId="0" xfId="0" applyNumberFormat="1" applyFont="1" applyFill="1" applyAlignment="1" applyProtection="1">
      <alignment horizontal="right"/>
    </xf>
    <xf numFmtId="4" fontId="16" fillId="2" borderId="0" xfId="0" applyNumberFormat="1" applyFont="1" applyFill="1" applyAlignment="1" applyProtection="1">
      <alignment horizontal="left"/>
    </xf>
    <xf numFmtId="4" fontId="16" fillId="2" borderId="0" xfId="0" applyNumberFormat="1" applyFont="1" applyFill="1" applyAlignment="1" applyProtection="1">
      <alignment horizontal="center"/>
    </xf>
    <xf numFmtId="14" fontId="0" fillId="0" borderId="0" xfId="0" applyNumberFormat="1"/>
    <xf numFmtId="4" fontId="4" fillId="0" borderId="1" xfId="0" applyNumberFormat="1" applyFont="1" applyBorder="1" applyAlignment="1"/>
    <xf numFmtId="3" fontId="20" fillId="0" borderId="0" xfId="0" applyNumberFormat="1" applyFont="1" applyAlignment="1"/>
    <xf numFmtId="3" fontId="4" fillId="0" borderId="1" xfId="0" applyNumberFormat="1" applyFont="1" applyBorder="1" applyAlignment="1"/>
    <xf numFmtId="3" fontId="20" fillId="0" borderId="1" xfId="0" applyNumberFormat="1" applyFont="1" applyBorder="1" applyAlignment="1"/>
    <xf numFmtId="3" fontId="14" fillId="0" borderId="1" xfId="0" applyNumberFormat="1" applyFont="1" applyBorder="1" applyAlignment="1"/>
    <xf numFmtId="4" fontId="4" fillId="0" borderId="0" xfId="0" applyNumberFormat="1" applyFont="1" applyBorder="1" applyAlignment="1"/>
    <xf numFmtId="4" fontId="14" fillId="0" borderId="1" xfId="0" applyNumberFormat="1" applyFont="1" applyFill="1" applyBorder="1" applyAlignment="1"/>
    <xf numFmtId="166" fontId="3" fillId="2" borderId="0" xfId="0" applyNumberFormat="1" applyFont="1" applyFill="1" applyAlignment="1" applyProtection="1">
      <alignment horizontal="center"/>
    </xf>
    <xf numFmtId="0" fontId="42" fillId="0" borderId="0" xfId="0" applyFont="1"/>
    <xf numFmtId="169" fontId="42" fillId="0" borderId="0" xfId="0" applyNumberFormat="1" applyFont="1"/>
    <xf numFmtId="10" fontId="3" fillId="2" borderId="0" xfId="2" applyNumberFormat="1" applyFont="1" applyFill="1" applyBorder="1" applyAlignment="1" applyProtection="1">
      <alignment horizontal="right"/>
      <protection locked="0"/>
    </xf>
    <xf numFmtId="167" fontId="3" fillId="2" borderId="0" xfId="0" applyNumberFormat="1" applyFont="1" applyFill="1" applyAlignment="1" applyProtection="1">
      <alignment horizontal="right"/>
    </xf>
    <xf numFmtId="167" fontId="1" fillId="2" borderId="0" xfId="0" applyNumberFormat="1" applyFont="1" applyFill="1" applyAlignment="1" applyProtection="1">
      <alignment horizontal="right"/>
    </xf>
    <xf numFmtId="167" fontId="3" fillId="2" borderId="2" xfId="0" applyNumberFormat="1" applyFont="1" applyFill="1" applyBorder="1" applyAlignment="1" applyProtection="1">
      <alignment horizontal="right"/>
      <protection locked="0"/>
    </xf>
    <xf numFmtId="168" fontId="42" fillId="2" borderId="0" xfId="0" applyNumberFormat="1" applyFont="1" applyFill="1" applyAlignment="1" applyProtection="1">
      <alignment horizontal="right"/>
    </xf>
    <xf numFmtId="4" fontId="42" fillId="2" borderId="0" xfId="0" applyNumberFormat="1" applyFont="1" applyFill="1" applyAlignment="1" applyProtection="1">
      <alignment horizontal="left"/>
    </xf>
    <xf numFmtId="1" fontId="43" fillId="2" borderId="0" xfId="0" applyNumberFormat="1" applyFont="1" applyFill="1" applyAlignment="1" applyProtection="1">
      <alignment horizontal="right"/>
    </xf>
    <xf numFmtId="9" fontId="3" fillId="2" borderId="0" xfId="2" applyNumberFormat="1" applyFont="1" applyFill="1" applyBorder="1" applyAlignment="1" applyProtection="1">
      <alignment horizontal="right"/>
    </xf>
    <xf numFmtId="3" fontId="3" fillId="2" borderId="0" xfId="0" applyNumberFormat="1" applyFont="1" applyFill="1" applyAlignment="1">
      <alignment horizontal="right"/>
    </xf>
  </cellXfs>
  <cellStyles count="3">
    <cellStyle name="Link" xfId="1" builtinId="8"/>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sharedStrings" Target="sharedStrings.xml"/><Relationship Id="rId5" Type="http://schemas.openxmlformats.org/officeDocument/2006/relationships/chartsheet" Target="chartsheets/sheet2.xml"/><Relationship Id="rId10" Type="http://schemas.openxmlformats.org/officeDocument/2006/relationships/styles" Target="styles.xml"/><Relationship Id="rId4" Type="http://schemas.openxmlformats.org/officeDocument/2006/relationships/chartsheet" Target="chartsheets/sheet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5900686740623349"/>
          <c:y val="5.3435114503816793E-2"/>
          <c:w val="0.82514527205493926"/>
          <c:h val="0.80661577608142498"/>
        </c:manualLayout>
      </c:layout>
      <c:barChart>
        <c:barDir val="col"/>
        <c:grouping val="clustered"/>
        <c:varyColors val="0"/>
        <c:ser>
          <c:idx val="1"/>
          <c:order val="0"/>
          <c:spPr>
            <a:solidFill>
              <a:srgbClr val="C0C0C0"/>
            </a:solidFill>
            <a:ln w="25400">
              <a:noFill/>
            </a:ln>
          </c:spPr>
          <c:invertIfNegative val="0"/>
          <c:cat>
            <c:numRef>
              <c:f>Berechnung!$A$7:$A$28</c:f>
              <c:numCache>
                <c:formatCode>#,##0</c:formatCode>
                <c:ptCount val="22"/>
                <c:pt idx="0">
                  <c:v>-1</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numCache>
            </c:numRef>
          </c:cat>
          <c:val>
            <c:numRef>
              <c:f>Berechnung!$AB$7:$AB$28</c:f>
              <c:numCache>
                <c:formatCode>#,##0</c:formatCode>
                <c:ptCount val="22"/>
                <c:pt idx="0">
                  <c:v>0</c:v>
                </c:pt>
                <c:pt idx="1">
                  <c:v>-13140.56</c:v>
                </c:pt>
                <c:pt idx="2">
                  <c:v>1159.8449999999998</c:v>
                </c:pt>
                <c:pt idx="3">
                  <c:v>1166.8511035199999</c:v>
                </c:pt>
                <c:pt idx="4">
                  <c:v>1174.021010537369</c:v>
                </c:pt>
                <c:pt idx="5">
                  <c:v>1181.357468449412</c:v>
                </c:pt>
                <c:pt idx="6">
                  <c:v>1188.863272895542</c:v>
                </c:pt>
                <c:pt idx="7">
                  <c:v>1196.5412685936803</c:v>
                </c:pt>
                <c:pt idx="8">
                  <c:v>1204.3943501911349</c:v>
                </c:pt>
                <c:pt idx="9">
                  <c:v>1212.4254631301994</c:v>
                </c:pt>
                <c:pt idx="10">
                  <c:v>1220.6376045287366</c:v>
                </c:pt>
                <c:pt idx="11">
                  <c:v>1229.0338240759932</c:v>
                </c:pt>
                <c:pt idx="12">
                  <c:v>1237.6172249439226</c:v>
                </c:pt>
                <c:pt idx="13">
                  <c:v>1246.3909647142698</c:v>
                </c:pt>
                <c:pt idx="14">
                  <c:v>1255.3582563216962</c:v>
                </c:pt>
                <c:pt idx="15">
                  <c:v>1264.5223690132268</c:v>
                </c:pt>
                <c:pt idx="16">
                  <c:v>1273.8866293242861</c:v>
                </c:pt>
                <c:pt idx="17">
                  <c:v>1283.4544220716289</c:v>
                </c:pt>
                <c:pt idx="18">
                  <c:v>1293.2291913634363</c:v>
                </c:pt>
                <c:pt idx="19">
                  <c:v>1303.2144416268923</c:v>
                </c:pt>
                <c:pt idx="20">
                  <c:v>1313.4137386535263</c:v>
                </c:pt>
                <c:pt idx="21">
                  <c:v>1397.2422769923012</c:v>
                </c:pt>
              </c:numCache>
            </c:numRef>
          </c:val>
          <c:extLst>
            <c:ext xmlns:c16="http://schemas.microsoft.com/office/drawing/2014/chart" uri="{C3380CC4-5D6E-409C-BE32-E72D297353CC}">
              <c16:uniqueId val="{00000000-295D-4E1F-8918-0C9F9B58597A}"/>
            </c:ext>
          </c:extLst>
        </c:ser>
        <c:dLbls>
          <c:showLegendKey val="0"/>
          <c:showVal val="0"/>
          <c:showCatName val="0"/>
          <c:showSerName val="0"/>
          <c:showPercent val="0"/>
          <c:showBubbleSize val="0"/>
        </c:dLbls>
        <c:gapWidth val="150"/>
        <c:axId val="762948927"/>
        <c:axId val="1"/>
      </c:barChart>
      <c:catAx>
        <c:axId val="762948927"/>
        <c:scaling>
          <c:orientation val="minMax"/>
        </c:scaling>
        <c:delete val="0"/>
        <c:axPos val="b"/>
        <c:title>
          <c:tx>
            <c:rich>
              <a:bodyPr/>
              <a:lstStyle/>
              <a:p>
                <a:pPr>
                  <a:defRPr sz="1150" b="0" i="0" u="none" strike="noStrike" baseline="0">
                    <a:solidFill>
                      <a:srgbClr val="000000"/>
                    </a:solidFill>
                    <a:latin typeface="Arial"/>
                    <a:ea typeface="Arial"/>
                    <a:cs typeface="Arial"/>
                  </a:defRPr>
                </a:pPr>
                <a:r>
                  <a:rPr lang="de-DE"/>
                  <a:t>Zeit [Jahre]</a:t>
                </a:r>
              </a:p>
            </c:rich>
          </c:tx>
          <c:layout>
            <c:manualLayout>
              <c:xMode val="edge"/>
              <c:yMode val="edge"/>
              <c:x val="0.50554675118858949"/>
              <c:y val="0.93214588634435958"/>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50" b="0" i="0" u="none" strike="noStrike" baseline="0">
                    <a:solidFill>
                      <a:srgbClr val="000000"/>
                    </a:solidFill>
                    <a:latin typeface="Arial"/>
                    <a:ea typeface="Arial"/>
                    <a:cs typeface="Arial"/>
                  </a:defRPr>
                </a:pPr>
                <a:r>
                  <a:rPr lang="de-DE"/>
                  <a:t>Jahresergebnis [Euro]</a:t>
                </a:r>
              </a:p>
            </c:rich>
          </c:tx>
          <c:layout>
            <c:manualLayout>
              <c:xMode val="edge"/>
              <c:yMode val="edge"/>
              <c:x val="1.7432646592709985E-2"/>
              <c:y val="0.25445292620865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762948927"/>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4844162704701533"/>
          <c:y val="5.3435114503816793E-2"/>
          <c:w val="0.83571051241415739"/>
          <c:h val="0.80336199663021657"/>
        </c:manualLayout>
      </c:layout>
      <c:barChart>
        <c:barDir val="col"/>
        <c:grouping val="clustered"/>
        <c:varyColors val="0"/>
        <c:ser>
          <c:idx val="1"/>
          <c:order val="0"/>
          <c:spPr>
            <a:solidFill>
              <a:srgbClr val="C0C0C0"/>
            </a:solidFill>
            <a:ln w="25400">
              <a:noFill/>
            </a:ln>
          </c:spPr>
          <c:invertIfNegative val="0"/>
          <c:cat>
            <c:numRef>
              <c:f>Berechnung!$A$7:$A$28</c:f>
              <c:numCache>
                <c:formatCode>#,##0</c:formatCode>
                <c:ptCount val="22"/>
                <c:pt idx="0">
                  <c:v>-1</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numCache>
            </c:numRef>
          </c:cat>
          <c:val>
            <c:numRef>
              <c:f>Berechnung!$AD$7:$AD$28</c:f>
              <c:numCache>
                <c:formatCode>#,##0</c:formatCode>
                <c:ptCount val="22"/>
                <c:pt idx="0">
                  <c:v>0</c:v>
                </c:pt>
                <c:pt idx="1">
                  <c:v>-13140.56</c:v>
                </c:pt>
                <c:pt idx="2">
                  <c:v>-12014.496893203883</c:v>
                </c:pt>
                <c:pt idx="3">
                  <c:v>-10914.627816457723</c:v>
                </c:pt>
                <c:pt idx="4">
                  <c:v>-9840.2322807590826</c:v>
                </c:pt>
                <c:pt idx="5">
                  <c:v>-8790.6114710833135</c:v>
                </c:pt>
                <c:pt idx="6">
                  <c:v>-7765.0875684519115</c:v>
                </c:pt>
                <c:pt idx="7">
                  <c:v>-6763.0030935324157</c:v>
                </c:pt>
                <c:pt idx="8">
                  <c:v>-5783.7202710821093</c:v>
                </c:pt>
                <c:pt idx="9">
                  <c:v>-4826.6204145697793</c:v>
                </c:pt>
                <c:pt idx="10">
                  <c:v>-3891.1033303311128</c:v>
                </c:pt>
                <c:pt idx="11">
                  <c:v>-2976.5867406339139</c:v>
                </c:pt>
                <c:pt idx="12">
                  <c:v>-2082.5057250493078</c:v>
                </c:pt>
                <c:pt idx="13">
                  <c:v>-1208.312179544409</c:v>
                </c:pt>
                <c:pt idx="14">
                  <c:v>-353.47429273065063</c:v>
                </c:pt>
                <c:pt idx="15">
                  <c:v>482.5239612799362</c:v>
                </c:pt>
                <c:pt idx="16">
                  <c:v>1300.1833139406631</c:v>
                </c:pt>
                <c:pt idx="17">
                  <c:v>2099.9896777715608</c:v>
                </c:pt>
                <c:pt idx="18">
                  <c:v>2882.4146067929746</c:v>
                </c:pt>
                <c:pt idx="19">
                  <c:v>3647.9157423722759</c:v>
                </c:pt>
                <c:pt idx="20">
                  <c:v>4396.9372449491912</c:v>
                </c:pt>
                <c:pt idx="21">
                  <c:v>5170.5564164439356</c:v>
                </c:pt>
              </c:numCache>
            </c:numRef>
          </c:val>
          <c:extLst>
            <c:ext xmlns:c16="http://schemas.microsoft.com/office/drawing/2014/chart" uri="{C3380CC4-5D6E-409C-BE32-E72D297353CC}">
              <c16:uniqueId val="{00000000-EC8C-43E3-B291-ABAC155912FF}"/>
            </c:ext>
          </c:extLst>
        </c:ser>
        <c:dLbls>
          <c:showLegendKey val="0"/>
          <c:showVal val="0"/>
          <c:showCatName val="0"/>
          <c:showSerName val="0"/>
          <c:showPercent val="0"/>
          <c:showBubbleSize val="0"/>
        </c:dLbls>
        <c:gapWidth val="150"/>
        <c:axId val="762938127"/>
        <c:axId val="1"/>
      </c:barChart>
      <c:catAx>
        <c:axId val="762938127"/>
        <c:scaling>
          <c:orientation val="minMax"/>
        </c:scaling>
        <c:delete val="0"/>
        <c:axPos val="b"/>
        <c:title>
          <c:tx>
            <c:rich>
              <a:bodyPr/>
              <a:lstStyle/>
              <a:p>
                <a:pPr>
                  <a:defRPr sz="1150" b="0" i="0" u="none" strike="noStrike" baseline="0">
                    <a:solidFill>
                      <a:srgbClr val="000000"/>
                    </a:solidFill>
                    <a:latin typeface="Arial"/>
                    <a:ea typeface="Arial"/>
                    <a:cs typeface="Arial"/>
                  </a:defRPr>
                </a:pPr>
                <a:r>
                  <a:rPr lang="de-DE"/>
                  <a:t>Zeit [Jahre]</a:t>
                </a:r>
              </a:p>
            </c:rich>
          </c:tx>
          <c:layout>
            <c:manualLayout>
              <c:xMode val="edge"/>
              <c:yMode val="edge"/>
              <c:x val="0.50554691757032744"/>
              <c:y val="0.92544756332939304"/>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50" b="0" i="0" u="none" strike="noStrike" baseline="0">
                    <a:solidFill>
                      <a:srgbClr val="000000"/>
                    </a:solidFill>
                    <a:latin typeface="Arial"/>
                    <a:ea typeface="Arial"/>
                    <a:cs typeface="Arial"/>
                  </a:defRPr>
                </a:pPr>
                <a:r>
                  <a:rPr lang="de-DE"/>
                  <a:t>Kapitalwert [Euro]</a:t>
                </a:r>
              </a:p>
            </c:rich>
          </c:tx>
          <c:layout>
            <c:manualLayout>
              <c:xMode val="edge"/>
              <c:yMode val="edge"/>
              <c:x val="1.7432646592709985E-2"/>
              <c:y val="0.290076335877862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762938127"/>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Diagramm4"/>
  <sheetViews>
    <sheetView workbookViewId="0"/>
  </sheetViews>
  <sheetProtection content="1" objects="1"/>
  <customSheetViews>
    <customSheetView guid="{36051EDE-EE05-46A8-9481-5CD2E0A132E3}" scale="75">
      <pageMargins left="0.78740157480314965" right="0.78740157480314965" top="0.78740157480314965" bottom="6.6929133858267722" header="0.51181102362204722" footer="0.51181102362204722"/>
      <pageSetup paperSize="9" orientation="portrait"/>
      <headerFooter alignWithMargins="0">
        <oddHeader>&amp;F</oddHeader>
        <oddFooter>&amp;A</oddFooter>
      </headerFooter>
    </customSheetView>
  </customSheetViews>
  <pageMargins left="0.78740157480314965" right="0.78740157480314965" top="0.78740157480314965" bottom="6.6929133858267722" header="0.51181102362204722" footer="0.51181102362204722"/>
  <pageSetup paperSize="9" orientation="portrait" r:id="rId1"/>
  <headerFooter alignWithMargins="0">
    <oddHeader>&amp;F</oddHeader>
    <oddFooter>&amp;A</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Diagramm5"/>
  <sheetViews>
    <sheetView workbookViewId="0"/>
  </sheetViews>
  <sheetProtection content="1" objects="1"/>
  <pageMargins left="0.78740157480314965" right="0.78740157480314965" top="0.78740157480314965" bottom="6.6929133858267722" header="0.51181102362204722" footer="0.51181102362204722"/>
  <pageSetup paperSize="9" orientation="portrait" r:id="rId1"/>
  <headerFooter alignWithMargins="0">
    <oddHeader>&amp;F</oddHeader>
    <oddFooter>&amp;A</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4076700</xdr:colOff>
      <xdr:row>0</xdr:row>
      <xdr:rowOff>104775</xdr:rowOff>
    </xdr:from>
    <xdr:to>
      <xdr:col>0</xdr:col>
      <xdr:colOff>5648325</xdr:colOff>
      <xdr:row>2</xdr:row>
      <xdr:rowOff>457200</xdr:rowOff>
    </xdr:to>
    <xdr:pic>
      <xdr:nvPicPr>
        <xdr:cNvPr id="1278" name="Picture 2" descr="C:\Dokumente und Einstellungen\aw\Desktop\Umweltinstitut-Logo-CMYK_klein.tif">
          <a:extLst>
            <a:ext uri="{FF2B5EF4-FFF2-40B4-BE49-F238E27FC236}">
              <a16:creationId xmlns:a16="http://schemas.microsoft.com/office/drawing/2014/main" id="{2AD57B87-B946-431E-ADAE-46F26918B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104775"/>
          <a:ext cx="15716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409575</xdr:colOff>
      <xdr:row>0</xdr:row>
      <xdr:rowOff>76200</xdr:rowOff>
    </xdr:from>
    <xdr:to>
      <xdr:col>7</xdr:col>
      <xdr:colOff>1009650</xdr:colOff>
      <xdr:row>4</xdr:row>
      <xdr:rowOff>152400</xdr:rowOff>
    </xdr:to>
    <xdr:pic>
      <xdr:nvPicPr>
        <xdr:cNvPr id="20570" name="Picture 113" descr="C:\Dokumente und Einstellungen\aw\Desktop\Umweltinstitut-Logo-CMYK_klein.tif">
          <a:extLst>
            <a:ext uri="{FF2B5EF4-FFF2-40B4-BE49-F238E27FC236}">
              <a16:creationId xmlns:a16="http://schemas.microsoft.com/office/drawing/2014/main" id="{4A36FC25-2799-486C-9128-4D9CC2444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76200"/>
          <a:ext cx="17811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6010275" cy="3743325"/>
    <xdr:graphicFrame macro="">
      <xdr:nvGraphicFramePr>
        <xdr:cNvPr id="2" name="Diagramm 1">
          <a:extLst>
            <a:ext uri="{FF2B5EF4-FFF2-40B4-BE49-F238E27FC236}">
              <a16:creationId xmlns:a16="http://schemas.microsoft.com/office/drawing/2014/main" id="{EBC15350-D672-44F2-B26E-875BD4CEC8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6010275" cy="3752850"/>
    <xdr:graphicFrame macro="">
      <xdr:nvGraphicFramePr>
        <xdr:cNvPr id="2" name="Diagramm 1">
          <a:extLst>
            <a:ext uri="{FF2B5EF4-FFF2-40B4-BE49-F238E27FC236}">
              <a16:creationId xmlns:a16="http://schemas.microsoft.com/office/drawing/2014/main" id="{0F592E78-E63D-4C98-B84A-51348FA9A12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jrc.ec.europa.eu/pvgis/apps4/pvest.php" TargetMode="External"/><Relationship Id="rId1" Type="http://schemas.openxmlformats.org/officeDocument/2006/relationships/hyperlink" Target="https://www.kfw-formularsammlung.de/KonditionenanzeigerINet/KonditionenAnzeiger?ProgrammNameNr=27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48"/>
  <sheetViews>
    <sheetView showGridLines="0" workbookViewId="0">
      <selection activeCell="A2" sqref="A2"/>
    </sheetView>
  </sheetViews>
  <sheetFormatPr baseColWidth="10" defaultRowHeight="12.75" x14ac:dyDescent="0.2"/>
  <cols>
    <col min="1" max="1" width="85.7109375" style="1" customWidth="1"/>
  </cols>
  <sheetData>
    <row r="1" spans="1:14" s="18" customFormat="1" ht="18" x14ac:dyDescent="0.25">
      <c r="A1" s="59" t="s">
        <v>33</v>
      </c>
    </row>
    <row r="2" spans="1:14" ht="15" customHeight="1" x14ac:dyDescent="0.2">
      <c r="A2" s="6" t="str">
        <f>ProgVersion</f>
        <v>Stand: 29.03.2023</v>
      </c>
    </row>
    <row r="3" spans="1:14" s="22" customFormat="1" ht="48.75" customHeight="1" x14ac:dyDescent="0.25">
      <c r="A3" s="19" t="s">
        <v>60</v>
      </c>
      <c r="B3" s="20"/>
      <c r="C3" s="20"/>
      <c r="D3" s="20"/>
      <c r="E3" s="20"/>
      <c r="F3" s="20"/>
      <c r="G3" s="21"/>
      <c r="H3" s="21"/>
      <c r="I3" s="21"/>
      <c r="J3" s="21"/>
      <c r="K3" s="21"/>
      <c r="L3" s="21"/>
      <c r="M3" s="21"/>
      <c r="N3" s="21"/>
    </row>
    <row r="4" spans="1:14" s="22" customFormat="1" ht="48.75" customHeight="1" x14ac:dyDescent="0.2">
      <c r="A4" s="23" t="s">
        <v>174</v>
      </c>
      <c r="B4" s="20"/>
      <c r="C4" s="20"/>
      <c r="D4" s="20"/>
      <c r="E4" s="20"/>
      <c r="F4" s="20"/>
      <c r="G4" s="21"/>
      <c r="H4" s="21"/>
      <c r="I4" s="21"/>
      <c r="J4" s="21"/>
      <c r="K4" s="21"/>
      <c r="L4" s="21"/>
      <c r="M4" s="21"/>
      <c r="N4" s="21"/>
    </row>
    <row r="6" spans="1:14" s="26" customFormat="1" ht="37.5" customHeight="1" x14ac:dyDescent="0.2">
      <c r="A6" s="29" t="s">
        <v>61</v>
      </c>
    </row>
    <row r="7" spans="1:14" s="25" customFormat="1" ht="159.75" customHeight="1" x14ac:dyDescent="0.2">
      <c r="A7" s="30" t="s">
        <v>72</v>
      </c>
    </row>
    <row r="8" spans="1:14" ht="52.5" customHeight="1" x14ac:dyDescent="0.2">
      <c r="A8" s="29" t="s">
        <v>137</v>
      </c>
    </row>
    <row r="9" spans="1:14" ht="32.25" customHeight="1" x14ac:dyDescent="0.2">
      <c r="A9" s="31" t="s">
        <v>62</v>
      </c>
    </row>
    <row r="10" spans="1:14" ht="57.75" customHeight="1" x14ac:dyDescent="0.2">
      <c r="A10" s="30" t="s">
        <v>92</v>
      </c>
    </row>
    <row r="11" spans="1:14" ht="47.25" customHeight="1" x14ac:dyDescent="0.2">
      <c r="A11" s="29" t="s">
        <v>138</v>
      </c>
    </row>
    <row r="12" spans="1:14" ht="75" customHeight="1" x14ac:dyDescent="0.2">
      <c r="A12" s="32" t="s">
        <v>139</v>
      </c>
    </row>
    <row r="13" spans="1:14" s="12" customFormat="1" ht="42" customHeight="1" x14ac:dyDescent="0.2">
      <c r="A13" s="29" t="s">
        <v>161</v>
      </c>
    </row>
    <row r="14" spans="1:14" ht="23.25" customHeight="1" x14ac:dyDescent="0.2">
      <c r="A14" s="28" t="s">
        <v>63</v>
      </c>
    </row>
    <row r="15" spans="1:14" ht="62.25" customHeight="1" x14ac:dyDescent="0.2">
      <c r="A15" s="58" t="s">
        <v>90</v>
      </c>
    </row>
    <row r="16" spans="1:14" ht="30" customHeight="1" x14ac:dyDescent="0.2">
      <c r="A16" s="33" t="s">
        <v>40</v>
      </c>
    </row>
    <row r="17" spans="1:1" ht="28.5" customHeight="1" x14ac:dyDescent="0.2">
      <c r="A17" s="33" t="s">
        <v>7</v>
      </c>
    </row>
    <row r="18" spans="1:1" ht="27.75" customHeight="1" x14ac:dyDescent="0.2">
      <c r="A18" s="33" t="s">
        <v>59</v>
      </c>
    </row>
    <row r="19" spans="1:1" s="25" customFormat="1" ht="13.5" customHeight="1" x14ac:dyDescent="0.2">
      <c r="A19" s="24"/>
    </row>
    <row r="20" spans="1:1" x14ac:dyDescent="0.2">
      <c r="A20" s="27"/>
    </row>
    <row r="21" spans="1:1" x14ac:dyDescent="0.2">
      <c r="A21" s="27"/>
    </row>
    <row r="22" spans="1:1" x14ac:dyDescent="0.2">
      <c r="A22" s="27"/>
    </row>
    <row r="23" spans="1:1" x14ac:dyDescent="0.2">
      <c r="A23" s="27"/>
    </row>
    <row r="24" spans="1:1" x14ac:dyDescent="0.2">
      <c r="A24" s="27"/>
    </row>
    <row r="25" spans="1:1" x14ac:dyDescent="0.2">
      <c r="A25" s="27"/>
    </row>
    <row r="26" spans="1:1" x14ac:dyDescent="0.2">
      <c r="A26" s="27"/>
    </row>
    <row r="27" spans="1:1" x14ac:dyDescent="0.2">
      <c r="A27" s="27"/>
    </row>
    <row r="28" spans="1:1" x14ac:dyDescent="0.2">
      <c r="A28" s="27"/>
    </row>
    <row r="29" spans="1:1" x14ac:dyDescent="0.2">
      <c r="A29" s="27"/>
    </row>
    <row r="30" spans="1:1" x14ac:dyDescent="0.2">
      <c r="A30" s="27"/>
    </row>
    <row r="31" spans="1:1" x14ac:dyDescent="0.2">
      <c r="A31" s="27"/>
    </row>
    <row r="32" spans="1:1" x14ac:dyDescent="0.2">
      <c r="A32" s="27"/>
    </row>
    <row r="33" spans="1:1" x14ac:dyDescent="0.2">
      <c r="A33" s="27"/>
    </row>
    <row r="34" spans="1:1" x14ac:dyDescent="0.2">
      <c r="A34" s="27"/>
    </row>
    <row r="35" spans="1:1" x14ac:dyDescent="0.2">
      <c r="A35" s="27"/>
    </row>
    <row r="36" spans="1:1" x14ac:dyDescent="0.2">
      <c r="A36" s="27"/>
    </row>
    <row r="37" spans="1:1" x14ac:dyDescent="0.2">
      <c r="A37" s="27"/>
    </row>
    <row r="38" spans="1:1" x14ac:dyDescent="0.2">
      <c r="A38" s="27"/>
    </row>
    <row r="39" spans="1:1" x14ac:dyDescent="0.2">
      <c r="A39" s="27"/>
    </row>
    <row r="40" spans="1:1" x14ac:dyDescent="0.2">
      <c r="A40" s="27"/>
    </row>
    <row r="41" spans="1:1" x14ac:dyDescent="0.2">
      <c r="A41" s="27"/>
    </row>
    <row r="42" spans="1:1" x14ac:dyDescent="0.2">
      <c r="A42" s="27"/>
    </row>
    <row r="43" spans="1:1" x14ac:dyDescent="0.2">
      <c r="A43" s="27"/>
    </row>
    <row r="44" spans="1:1" x14ac:dyDescent="0.2">
      <c r="A44" s="27"/>
    </row>
    <row r="45" spans="1:1" x14ac:dyDescent="0.2">
      <c r="A45" s="27"/>
    </row>
    <row r="46" spans="1:1" x14ac:dyDescent="0.2">
      <c r="A46" s="27"/>
    </row>
    <row r="47" spans="1:1" x14ac:dyDescent="0.2">
      <c r="A47" s="27"/>
    </row>
    <row r="48" spans="1:1" x14ac:dyDescent="0.2">
      <c r="A48" s="27"/>
    </row>
  </sheetData>
  <sheetProtection sheet="1" objects="1" scenarios="1"/>
  <customSheetViews>
    <customSheetView guid="{36051EDE-EE05-46A8-9481-5CD2E0A132E3}" showRuler="0" topLeftCell="A7">
      <selection activeCell="C7" sqref="C7"/>
      <pageMargins left="0.78740157499999996" right="0.78740157499999996" top="0.984251969" bottom="0.984251969" header="0.4921259845" footer="0.4921259845"/>
      <pageSetup paperSize="9" orientation="portrait" verticalDpi="300"/>
      <headerFooter alignWithMargins="0">
        <oddHeader>&amp;F</oddHeader>
        <oddFooter>&amp;A</oddFooter>
      </headerFooter>
    </customSheetView>
  </customSheetViews>
  <phoneticPr fontId="0" type="noConversion"/>
  <pageMargins left="0.78740157499999996" right="0.78740157499999996" top="0.984251969" bottom="0.984251969" header="0.4921259845" footer="0.4921259845"/>
  <pageSetup paperSize="9" orientation="portrait" verticalDpi="300"/>
  <headerFooter alignWithMargins="0">
    <oddHeader>&amp;F</oddHeader>
    <oddFooter>&amp;A</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K89"/>
  <sheetViews>
    <sheetView showGridLines="0" tabSelected="1" zoomScaleNormal="100" workbookViewId="0">
      <selection activeCell="E13" sqref="E13"/>
    </sheetView>
  </sheetViews>
  <sheetFormatPr baseColWidth="10" defaultColWidth="8.7109375" defaultRowHeight="15" customHeight="1" x14ac:dyDescent="0.2"/>
  <cols>
    <col min="1" max="1" width="44.42578125" style="92" customWidth="1"/>
    <col min="2" max="2" width="10" style="47" customWidth="1"/>
    <col min="3" max="3" width="8.7109375" style="47" customWidth="1"/>
    <col min="4" max="4" width="9.85546875" style="47" customWidth="1"/>
    <col min="5" max="5" width="9.5703125" style="94" customWidth="1"/>
    <col min="6" max="6" width="8.28515625" style="47" customWidth="1"/>
    <col min="7" max="7" width="9.42578125" style="47" customWidth="1"/>
    <col min="8" max="8" width="16.42578125" style="47" customWidth="1"/>
    <col min="9" max="9" width="8.42578125" style="47" hidden="1" customWidth="1"/>
    <col min="10" max="10" width="1.5703125" style="47" customWidth="1"/>
    <col min="11" max="11" width="15.7109375" style="141" customWidth="1"/>
    <col min="12" max="16384" width="8.7109375" style="48"/>
  </cols>
  <sheetData>
    <row r="1" spans="1:11" s="62" customFormat="1" ht="18.75" customHeight="1" x14ac:dyDescent="0.25">
      <c r="A1" s="59" t="s">
        <v>33</v>
      </c>
      <c r="B1" s="60"/>
      <c r="C1" s="59"/>
      <c r="D1" s="60"/>
      <c r="E1" s="166"/>
      <c r="F1" s="59"/>
      <c r="G1" s="61"/>
      <c r="H1" s="61"/>
      <c r="I1" s="61"/>
      <c r="J1" s="112"/>
      <c r="K1" s="142"/>
    </row>
    <row r="2" spans="1:11" s="66" customFormat="1" ht="15" customHeight="1" x14ac:dyDescent="0.25">
      <c r="A2" s="63" t="s">
        <v>205</v>
      </c>
      <c r="B2" s="64"/>
      <c r="C2" s="63"/>
      <c r="D2" s="64"/>
      <c r="E2" s="167"/>
      <c r="F2" s="63"/>
      <c r="G2" s="65"/>
      <c r="H2" s="65"/>
      <c r="I2" s="65"/>
      <c r="J2" s="112"/>
      <c r="K2" s="142"/>
    </row>
    <row r="3" spans="1:11" s="66" customFormat="1" ht="15" customHeight="1" x14ac:dyDescent="0.25">
      <c r="A3" s="67"/>
      <c r="B3" s="64"/>
      <c r="C3" s="63"/>
      <c r="D3" s="64"/>
      <c r="E3" s="167"/>
      <c r="F3" s="63"/>
      <c r="G3" s="65"/>
      <c r="H3" s="65"/>
      <c r="I3" s="65"/>
      <c r="J3" s="112"/>
      <c r="K3" s="142"/>
    </row>
    <row r="4" spans="1:11" s="66" customFormat="1" ht="15" customHeight="1" x14ac:dyDescent="0.25">
      <c r="A4" s="67"/>
      <c r="B4" s="64"/>
      <c r="C4" s="63"/>
      <c r="D4" s="64"/>
      <c r="E4" s="167"/>
      <c r="F4" s="63"/>
      <c r="G4" s="65"/>
      <c r="H4" s="65"/>
      <c r="I4" s="65"/>
      <c r="J4" s="112"/>
      <c r="K4" s="142"/>
    </row>
    <row r="5" spans="1:11" ht="15" customHeight="1" x14ac:dyDescent="0.25">
      <c r="A5" s="71" t="s">
        <v>18</v>
      </c>
      <c r="B5" s="67"/>
      <c r="C5" s="68"/>
      <c r="D5" s="67"/>
      <c r="E5" s="168"/>
      <c r="F5" s="68"/>
      <c r="J5" s="112"/>
      <c r="K5" s="142"/>
    </row>
    <row r="6" spans="1:11" s="71" customFormat="1" ht="15" customHeight="1" x14ac:dyDescent="0.25">
      <c r="A6" s="71" t="s">
        <v>136</v>
      </c>
      <c r="B6" s="201"/>
      <c r="D6" s="201"/>
      <c r="J6" s="112"/>
      <c r="K6" s="146"/>
    </row>
    <row r="7" spans="1:11" s="71" customFormat="1" ht="15" customHeight="1" x14ac:dyDescent="0.25">
      <c r="A7" s="71" t="s">
        <v>91</v>
      </c>
      <c r="B7" s="201"/>
      <c r="D7" s="201"/>
      <c r="J7" s="112"/>
    </row>
    <row r="8" spans="1:11" s="204" customFormat="1" ht="15" customHeight="1" x14ac:dyDescent="0.25">
      <c r="A8" s="71" t="s">
        <v>111</v>
      </c>
      <c r="B8" s="202"/>
      <c r="C8" s="202"/>
      <c r="D8" s="202"/>
      <c r="E8" s="203"/>
      <c r="F8" s="202"/>
      <c r="G8" s="202"/>
      <c r="H8" s="202"/>
      <c r="J8" s="112"/>
      <c r="K8" s="146"/>
    </row>
    <row r="9" spans="1:11" s="73" customFormat="1" ht="15" customHeight="1" x14ac:dyDescent="0.25">
      <c r="B9" s="72"/>
      <c r="C9" s="72"/>
      <c r="D9" s="72"/>
      <c r="E9" s="169"/>
      <c r="F9" s="72"/>
      <c r="G9" s="72"/>
      <c r="H9" s="72"/>
      <c r="J9" s="112"/>
      <c r="K9" s="147"/>
    </row>
    <row r="10" spans="1:11" ht="15" customHeight="1" x14ac:dyDescent="0.25">
      <c r="A10" s="74" t="s">
        <v>5</v>
      </c>
      <c r="B10" s="75"/>
      <c r="C10" s="76"/>
      <c r="J10" s="112"/>
      <c r="K10" s="142"/>
    </row>
    <row r="11" spans="1:11" ht="15" customHeight="1" x14ac:dyDescent="0.25">
      <c r="A11" s="77" t="s">
        <v>67</v>
      </c>
      <c r="B11" s="96">
        <f>Berechnung!AB30</f>
        <v>6.7894743108499744E-2</v>
      </c>
      <c r="C11" s="78" t="s">
        <v>1</v>
      </c>
      <c r="J11" s="112"/>
    </row>
    <row r="12" spans="1:11" ht="15" customHeight="1" x14ac:dyDescent="0.25">
      <c r="A12" s="77" t="s">
        <v>118</v>
      </c>
      <c r="B12" s="194">
        <f>IF(Berechnung!AD28&lt;0,"&gt;20",Berechnung!AG29)</f>
        <v>14</v>
      </c>
      <c r="C12" s="77" t="s">
        <v>19</v>
      </c>
      <c r="E12" s="92"/>
      <c r="J12" s="112"/>
      <c r="K12" s="143"/>
    </row>
    <row r="13" spans="1:11" ht="15" customHeight="1" x14ac:dyDescent="0.25">
      <c r="A13" s="77" t="s">
        <v>74</v>
      </c>
      <c r="B13" s="97">
        <f>Berechnung!AF31</f>
        <v>0.11608576717865964</v>
      </c>
      <c r="C13" s="78" t="s">
        <v>58</v>
      </c>
      <c r="J13" s="112"/>
    </row>
    <row r="14" spans="1:11" ht="15" customHeight="1" x14ac:dyDescent="0.25">
      <c r="A14" s="77" t="s">
        <v>43</v>
      </c>
      <c r="B14" s="98">
        <f>Berechnung!AC29</f>
        <v>5170.5564164439356</v>
      </c>
      <c r="C14" s="77" t="str">
        <f>IF(Kapitalwert&gt;0,"€ Gewinn","€ Verlust")</f>
        <v>€ Gewinn</v>
      </c>
      <c r="J14" s="112"/>
    </row>
    <row r="15" spans="1:11" ht="15" customHeight="1" x14ac:dyDescent="0.25">
      <c r="A15" s="77" t="s">
        <v>201</v>
      </c>
      <c r="B15" s="98">
        <f>(AnlagenpreisPV+BatteriespeicherJN*ZusatzkostenBatterie)*(1+MwSt_Satz)-Zuschuss_PV_Anlage-BatteriespeicherJN*ZuschussBatterie-Kredit1*Auszahlung1-Kredit2</f>
        <v>14000</v>
      </c>
      <c r="C15" s="77" t="s">
        <v>17</v>
      </c>
      <c r="E15" s="92"/>
      <c r="J15" s="112"/>
      <c r="K15" s="143"/>
    </row>
    <row r="16" spans="1:11" ht="15" customHeight="1" x14ac:dyDescent="0.25">
      <c r="E16" s="92"/>
      <c r="J16" s="112"/>
      <c r="K16" s="143"/>
    </row>
    <row r="17" spans="1:11" ht="15" customHeight="1" x14ac:dyDescent="0.25">
      <c r="A17" s="77" t="s">
        <v>34</v>
      </c>
      <c r="B17" s="79"/>
      <c r="C17" s="77"/>
      <c r="E17" s="92"/>
      <c r="J17" s="112"/>
      <c r="K17" s="143"/>
    </row>
    <row r="18" spans="1:11" s="49" customFormat="1" ht="15" customHeight="1" x14ac:dyDescent="0.25">
      <c r="A18" s="82" t="s">
        <v>127</v>
      </c>
      <c r="B18" s="154">
        <v>10</v>
      </c>
      <c r="C18" s="83" t="s">
        <v>8</v>
      </c>
      <c r="D18" s="175"/>
      <c r="E18" s="77"/>
      <c r="I18" s="84"/>
      <c r="J18" s="112"/>
      <c r="K18" s="141"/>
    </row>
    <row r="19" spans="1:11" s="49" customFormat="1" ht="15" customHeight="1" x14ac:dyDescent="0.25">
      <c r="A19" s="82" t="s">
        <v>88</v>
      </c>
      <c r="B19" s="155">
        <v>14000</v>
      </c>
      <c r="C19" s="83" t="s">
        <v>86</v>
      </c>
      <c r="D19" s="88">
        <f>AnlagenpreisPV/kWp</f>
        <v>1400</v>
      </c>
      <c r="E19" s="83" t="s">
        <v>15</v>
      </c>
      <c r="F19" s="83"/>
      <c r="H19" s="83"/>
      <c r="J19" s="112"/>
      <c r="K19" s="141"/>
    </row>
    <row r="20" spans="1:11" s="49" customFormat="1" ht="15" customHeight="1" x14ac:dyDescent="0.25">
      <c r="A20" s="82" t="s">
        <v>181</v>
      </c>
      <c r="B20" s="155">
        <v>0</v>
      </c>
      <c r="C20" s="83" t="s">
        <v>17</v>
      </c>
      <c r="D20" s="88"/>
      <c r="E20" s="83"/>
      <c r="F20" s="83"/>
      <c r="H20" s="83"/>
      <c r="J20" s="112"/>
      <c r="K20" s="141"/>
    </row>
    <row r="21" spans="1:11" s="49" customFormat="1" ht="15" customHeight="1" x14ac:dyDescent="0.25">
      <c r="A21" s="82" t="s">
        <v>79</v>
      </c>
      <c r="B21" s="155">
        <v>0</v>
      </c>
      <c r="C21" s="83"/>
      <c r="D21" s="84"/>
      <c r="E21" s="83"/>
      <c r="H21" s="85"/>
      <c r="J21" s="112"/>
      <c r="K21" s="142"/>
    </row>
    <row r="22" spans="1:11" s="49" customFormat="1" ht="15" customHeight="1" x14ac:dyDescent="0.25">
      <c r="A22" s="82" t="s">
        <v>135</v>
      </c>
      <c r="B22" s="156">
        <v>5000</v>
      </c>
      <c r="C22" s="83" t="s">
        <v>73</v>
      </c>
      <c r="D22" s="176"/>
      <c r="E22" s="86"/>
      <c r="F22" s="86"/>
      <c r="G22" s="87"/>
      <c r="H22" s="86"/>
      <c r="J22" s="112"/>
      <c r="K22" s="141"/>
    </row>
    <row r="23" spans="1:11" s="49" customFormat="1" ht="15" customHeight="1" x14ac:dyDescent="0.25">
      <c r="A23" s="82" t="s">
        <v>87</v>
      </c>
      <c r="B23" s="156">
        <v>0</v>
      </c>
      <c r="C23" s="83" t="s">
        <v>17</v>
      </c>
      <c r="D23" s="84"/>
      <c r="E23" s="93"/>
      <c r="H23" s="85"/>
      <c r="J23" s="112"/>
    </row>
    <row r="24" spans="1:11" s="49" customFormat="1" ht="15" customHeight="1" x14ac:dyDescent="0.25">
      <c r="A24" s="82" t="s">
        <v>96</v>
      </c>
      <c r="B24" s="155">
        <f>2%*AnlagenpreisPV</f>
        <v>280</v>
      </c>
      <c r="C24" s="83" t="s">
        <v>17</v>
      </c>
      <c r="D24" s="177"/>
      <c r="E24" s="83"/>
      <c r="J24" s="112"/>
    </row>
    <row r="25" spans="1:11" s="49" customFormat="1" ht="15" customHeight="1" x14ac:dyDescent="0.25">
      <c r="A25" s="83" t="s">
        <v>103</v>
      </c>
      <c r="B25" s="156">
        <v>200</v>
      </c>
      <c r="C25" s="83" t="s">
        <v>106</v>
      </c>
      <c r="D25" s="84"/>
      <c r="E25" s="170"/>
      <c r="G25" s="88"/>
      <c r="H25" s="83"/>
      <c r="J25" s="112"/>
      <c r="K25" s="141"/>
    </row>
    <row r="26" spans="1:11" s="49" customFormat="1" ht="15" customHeight="1" x14ac:dyDescent="0.25">
      <c r="A26" s="83" t="s">
        <v>41</v>
      </c>
      <c r="B26" s="156">
        <v>0</v>
      </c>
      <c r="C26" s="83" t="s">
        <v>106</v>
      </c>
      <c r="D26" s="84"/>
      <c r="E26" s="83"/>
      <c r="G26" s="88"/>
      <c r="H26" s="83"/>
      <c r="J26" s="112"/>
      <c r="K26" s="141"/>
    </row>
    <row r="27" spans="1:11" s="49" customFormat="1" ht="15" customHeight="1" x14ac:dyDescent="0.25">
      <c r="A27" s="82" t="s">
        <v>24</v>
      </c>
      <c r="B27" s="155">
        <v>1000</v>
      </c>
      <c r="C27" s="83" t="s">
        <v>113</v>
      </c>
      <c r="D27" s="84"/>
      <c r="E27" s="171" t="s">
        <v>95</v>
      </c>
      <c r="J27" s="112"/>
      <c r="K27" s="141"/>
    </row>
    <row r="28" spans="1:11" s="49" customFormat="1" ht="15" customHeight="1" x14ac:dyDescent="0.25">
      <c r="A28" s="82" t="s">
        <v>122</v>
      </c>
      <c r="B28" s="157">
        <v>3.0000000000000001E-3</v>
      </c>
      <c r="C28" s="83"/>
      <c r="D28" s="84"/>
      <c r="E28" s="83"/>
      <c r="H28" s="85"/>
      <c r="J28" s="112"/>
      <c r="K28" s="141"/>
    </row>
    <row r="29" spans="1:11" s="49" customFormat="1" ht="15" customHeight="1" x14ac:dyDescent="0.25">
      <c r="A29" s="82" t="s">
        <v>192</v>
      </c>
      <c r="B29" s="157" t="s">
        <v>57</v>
      </c>
      <c r="C29" s="83"/>
      <c r="D29" s="84"/>
      <c r="E29" s="83"/>
      <c r="H29" s="85"/>
      <c r="J29" s="112"/>
      <c r="K29" s="141"/>
    </row>
    <row r="30" spans="1:11" s="49" customFormat="1" ht="15" customHeight="1" x14ac:dyDescent="0.25">
      <c r="A30" s="82" t="s">
        <v>190</v>
      </c>
      <c r="B30" s="158">
        <v>0.2</v>
      </c>
      <c r="C30" s="83"/>
      <c r="D30" s="84"/>
      <c r="E30" s="83"/>
      <c r="H30" s="85"/>
      <c r="J30" s="112"/>
      <c r="K30" s="141"/>
    </row>
    <row r="31" spans="1:11" s="49" customFormat="1" ht="15" customHeight="1" x14ac:dyDescent="0.25">
      <c r="A31" s="82" t="s">
        <v>189</v>
      </c>
      <c r="B31" s="159">
        <v>0.4</v>
      </c>
      <c r="C31" s="83"/>
      <c r="D31" s="178"/>
      <c r="E31" s="83"/>
      <c r="H31" s="85"/>
      <c r="J31" s="112"/>
      <c r="K31" s="141"/>
    </row>
    <row r="32" spans="1:11" s="49" customFormat="1" ht="15" customHeight="1" x14ac:dyDescent="0.25">
      <c r="A32" s="82" t="s">
        <v>119</v>
      </c>
      <c r="B32" s="158">
        <v>0.1</v>
      </c>
      <c r="C32" s="83"/>
      <c r="D32" s="84"/>
      <c r="E32" s="171"/>
      <c r="J32" s="112"/>
      <c r="K32" s="141"/>
    </row>
    <row r="33" spans="1:11" s="49" customFormat="1" ht="15" customHeight="1" x14ac:dyDescent="0.25">
      <c r="A33" s="82" t="s">
        <v>121</v>
      </c>
      <c r="B33" s="195">
        <v>0.02</v>
      </c>
      <c r="C33" s="83" t="s">
        <v>1</v>
      </c>
      <c r="D33" s="84"/>
      <c r="E33" s="171"/>
      <c r="J33" s="112"/>
      <c r="K33" s="141"/>
    </row>
    <row r="34" spans="1:11" s="49" customFormat="1" ht="15" customHeight="1" x14ac:dyDescent="0.25">
      <c r="A34" s="82" t="s">
        <v>89</v>
      </c>
      <c r="B34" s="160">
        <v>2023</v>
      </c>
      <c r="C34" s="89"/>
      <c r="D34" s="177"/>
      <c r="E34" s="83"/>
      <c r="H34" s="85"/>
      <c r="J34" s="112"/>
      <c r="K34" s="141"/>
    </row>
    <row r="35" spans="1:11" s="49" customFormat="1" ht="15" customHeight="1" x14ac:dyDescent="0.25">
      <c r="A35" s="82" t="s">
        <v>64</v>
      </c>
      <c r="B35" s="160">
        <v>1</v>
      </c>
      <c r="C35" s="84"/>
      <c r="D35" s="179"/>
      <c r="E35" s="83"/>
      <c r="J35" s="112"/>
      <c r="K35" s="141"/>
    </row>
    <row r="36" spans="1:11" s="49" customFormat="1" ht="15" customHeight="1" x14ac:dyDescent="0.25">
      <c r="A36" s="82"/>
      <c r="B36" s="153"/>
      <c r="D36" s="84"/>
      <c r="E36" s="83"/>
      <c r="J36" s="112"/>
      <c r="K36" s="141"/>
    </row>
    <row r="37" spans="1:11" s="49" customFormat="1" ht="15" customHeight="1" x14ac:dyDescent="0.25">
      <c r="A37" s="82" t="s">
        <v>97</v>
      </c>
      <c r="B37" s="111">
        <f>AnlagenpreisPV-Zuschuss_PV_Anlage+BatteriespeicherJN*(ZusatzkostenBatterie-ZuschussBatterie)</f>
        <v>14000</v>
      </c>
      <c r="C37" s="83" t="s">
        <v>17</v>
      </c>
      <c r="D37" s="84"/>
      <c r="E37" s="83"/>
      <c r="J37" s="112"/>
      <c r="K37" s="141"/>
    </row>
    <row r="38" spans="1:11" s="49" customFormat="1" ht="15" customHeight="1" x14ac:dyDescent="0.25">
      <c r="A38" s="82" t="s">
        <v>107</v>
      </c>
      <c r="B38" s="40">
        <f>IF(Volleinspeisung="ja",F38,VLOOKUP(IBNJahr,Vergütung!A3:B13,2,TRUE))</f>
        <v>8.2000000000000003E-2</v>
      </c>
      <c r="C38" s="83" t="s">
        <v>58</v>
      </c>
      <c r="D38" s="83"/>
      <c r="E38" s="84" t="s">
        <v>194</v>
      </c>
      <c r="F38" s="217">
        <f>IF(kWp&lt;=10,0.13,IF(kWp&lt;=100,(10*0.13+(kWp-10)*0.109)/kWp,IF(kWp&lt;=300,(10*0.13+90*0.109+(kWp-100)*0.09)/kWp)))</f>
        <v>0.13</v>
      </c>
      <c r="G38" s="83" t="s">
        <v>58</v>
      </c>
      <c r="J38" s="112"/>
      <c r="K38" s="141"/>
    </row>
    <row r="39" spans="1:11" s="49" customFormat="1" ht="15" customHeight="1" x14ac:dyDescent="0.25">
      <c r="A39" s="82"/>
      <c r="D39" s="84"/>
      <c r="E39" s="83"/>
      <c r="J39" s="112"/>
      <c r="K39" s="141"/>
    </row>
    <row r="40" spans="1:11" s="49" customFormat="1" ht="15" customHeight="1" x14ac:dyDescent="0.25">
      <c r="A40" s="74" t="s">
        <v>35</v>
      </c>
      <c r="B40" s="91"/>
      <c r="D40" s="84"/>
      <c r="E40" s="83"/>
      <c r="J40" s="112"/>
      <c r="K40" s="141"/>
    </row>
    <row r="41" spans="1:11" s="49" customFormat="1" ht="15" customHeight="1" x14ac:dyDescent="0.25">
      <c r="A41" s="82" t="s">
        <v>22</v>
      </c>
      <c r="B41" s="34">
        <v>0</v>
      </c>
      <c r="C41" s="83" t="s">
        <v>17</v>
      </c>
      <c r="D41" s="177">
        <f>(Anlagenpreis-Kredit1)/Anlagenpreis</f>
        <v>1</v>
      </c>
      <c r="E41" s="83" t="s">
        <v>85</v>
      </c>
      <c r="J41" s="112"/>
      <c r="K41" s="141"/>
    </row>
    <row r="42" spans="1:11" ht="15" customHeight="1" x14ac:dyDescent="0.25">
      <c r="A42" s="92" t="s">
        <v>28</v>
      </c>
      <c r="B42" s="37">
        <v>1</v>
      </c>
      <c r="D42" s="161"/>
      <c r="J42" s="112"/>
    </row>
    <row r="43" spans="1:11" ht="15" customHeight="1" x14ac:dyDescent="0.25">
      <c r="A43" s="92" t="s">
        <v>186</v>
      </c>
      <c r="B43" s="36">
        <v>1.5E-3</v>
      </c>
      <c r="J43" s="112"/>
    </row>
    <row r="44" spans="1:11" s="49" customFormat="1" ht="15" customHeight="1" x14ac:dyDescent="0.25">
      <c r="A44" s="92" t="s">
        <v>32</v>
      </c>
      <c r="B44" s="36">
        <v>5.3499999999999999E-2</v>
      </c>
      <c r="C44" s="83" t="s">
        <v>1</v>
      </c>
      <c r="D44" s="93" t="s">
        <v>112</v>
      </c>
      <c r="E44" s="83"/>
      <c r="F44" s="83" t="s">
        <v>131</v>
      </c>
      <c r="J44" s="112"/>
      <c r="K44" s="141"/>
    </row>
    <row r="45" spans="1:11" ht="15" customHeight="1" x14ac:dyDescent="0.25">
      <c r="A45" s="92" t="s">
        <v>29</v>
      </c>
      <c r="B45" s="39">
        <v>10</v>
      </c>
      <c r="C45" s="94" t="s">
        <v>19</v>
      </c>
      <c r="J45" s="112"/>
    </row>
    <row r="46" spans="1:11" s="49" customFormat="1" ht="15" customHeight="1" x14ac:dyDescent="0.25">
      <c r="A46" s="92" t="s">
        <v>84</v>
      </c>
      <c r="B46" s="34">
        <v>10</v>
      </c>
      <c r="C46" s="83"/>
      <c r="D46" s="84"/>
      <c r="E46" s="83"/>
      <c r="J46" s="112"/>
      <c r="K46" s="141"/>
    </row>
    <row r="47" spans="1:11" ht="15" customHeight="1" x14ac:dyDescent="0.25">
      <c r="A47" s="92" t="s">
        <v>30</v>
      </c>
      <c r="B47" s="39">
        <v>2</v>
      </c>
      <c r="C47" s="94" t="s">
        <v>19</v>
      </c>
      <c r="J47" s="112"/>
    </row>
    <row r="48" spans="1:11" ht="15" customHeight="1" x14ac:dyDescent="0.25">
      <c r="A48" s="92" t="s">
        <v>39</v>
      </c>
      <c r="B48" s="36">
        <v>0.05</v>
      </c>
      <c r="C48" s="83" t="s">
        <v>1</v>
      </c>
      <c r="J48" s="112"/>
    </row>
    <row r="49" spans="1:11" ht="15" customHeight="1" x14ac:dyDescent="0.25">
      <c r="A49" s="82" t="s">
        <v>26</v>
      </c>
      <c r="B49" s="34">
        <v>0</v>
      </c>
      <c r="C49" s="83" t="s">
        <v>17</v>
      </c>
      <c r="J49" s="112"/>
    </row>
    <row r="50" spans="1:11" ht="15" customHeight="1" x14ac:dyDescent="0.25">
      <c r="A50" s="92" t="s">
        <v>27</v>
      </c>
      <c r="B50" s="35">
        <v>0.03</v>
      </c>
      <c r="C50" s="83" t="s">
        <v>1</v>
      </c>
      <c r="J50" s="112"/>
    </row>
    <row r="51" spans="1:11" ht="15" customHeight="1" x14ac:dyDescent="0.25">
      <c r="A51" s="92" t="s">
        <v>29</v>
      </c>
      <c r="B51" s="39">
        <v>15</v>
      </c>
      <c r="C51" s="94" t="s">
        <v>19</v>
      </c>
      <c r="J51" s="112"/>
    </row>
    <row r="52" spans="1:11" ht="15" customHeight="1" x14ac:dyDescent="0.25">
      <c r="C52" s="94"/>
      <c r="J52" s="112"/>
    </row>
    <row r="53" spans="1:11" ht="15" customHeight="1" x14ac:dyDescent="0.25">
      <c r="A53" s="74" t="s">
        <v>36</v>
      </c>
      <c r="C53" s="94"/>
      <c r="J53" s="112"/>
    </row>
    <row r="54" spans="1:11" ht="15" customHeight="1" x14ac:dyDescent="0.25">
      <c r="A54" s="82" t="s">
        <v>175</v>
      </c>
      <c r="B54" s="160" t="s">
        <v>82</v>
      </c>
      <c r="C54" s="94"/>
      <c r="J54" s="112"/>
    </row>
    <row r="55" spans="1:11" s="49" customFormat="1" ht="15" customHeight="1" x14ac:dyDescent="0.25">
      <c r="A55" s="82" t="s">
        <v>117</v>
      </c>
      <c r="B55" s="160" t="s">
        <v>57</v>
      </c>
      <c r="C55" s="84"/>
      <c r="D55" s="90"/>
      <c r="E55" s="83"/>
      <c r="J55" s="112"/>
      <c r="K55" s="141"/>
    </row>
    <row r="56" spans="1:11" s="81" customFormat="1" ht="15" customHeight="1" x14ac:dyDescent="0.25">
      <c r="A56" s="83" t="s">
        <v>120</v>
      </c>
      <c r="B56" s="155" t="s">
        <v>57</v>
      </c>
      <c r="C56" s="80"/>
      <c r="D56" s="84"/>
      <c r="E56" s="74"/>
      <c r="I56" s="80"/>
      <c r="J56" s="112"/>
      <c r="K56" s="142"/>
    </row>
    <row r="57" spans="1:11" s="81" customFormat="1" ht="15" customHeight="1" x14ac:dyDescent="0.25">
      <c r="A57" s="83" t="s">
        <v>130</v>
      </c>
      <c r="B57" s="196" t="s">
        <v>82</v>
      </c>
      <c r="C57" s="80"/>
      <c r="D57" s="84"/>
      <c r="E57" s="74"/>
      <c r="I57" s="80"/>
      <c r="J57" s="112"/>
      <c r="K57" s="142"/>
    </row>
    <row r="58" spans="1:11" s="49" customFormat="1" ht="15" customHeight="1" x14ac:dyDescent="0.25">
      <c r="A58" s="82" t="s">
        <v>0</v>
      </c>
      <c r="B58" s="35">
        <v>1.4999999999999999E-2</v>
      </c>
      <c r="C58" s="83" t="s">
        <v>1</v>
      </c>
      <c r="D58" s="84"/>
      <c r="E58" s="83"/>
      <c r="J58" s="112"/>
      <c r="K58" s="141"/>
    </row>
    <row r="59" spans="1:11" s="49" customFormat="1" ht="15" customHeight="1" x14ac:dyDescent="0.25">
      <c r="A59" s="82" t="s">
        <v>37</v>
      </c>
      <c r="B59" s="35">
        <v>0.03</v>
      </c>
      <c r="C59" s="83" t="s">
        <v>1</v>
      </c>
      <c r="D59" s="84"/>
      <c r="E59" s="83"/>
      <c r="J59" s="112"/>
      <c r="K59" s="141"/>
    </row>
    <row r="60" spans="1:11" s="49" customFormat="1" ht="15" customHeight="1" x14ac:dyDescent="0.25">
      <c r="A60" s="82" t="s">
        <v>66</v>
      </c>
      <c r="B60" s="35">
        <v>0</v>
      </c>
      <c r="C60" s="83" t="s">
        <v>1</v>
      </c>
      <c r="D60" s="84"/>
      <c r="E60" s="83"/>
      <c r="J60" s="112"/>
      <c r="K60" s="141"/>
    </row>
    <row r="61" spans="1:11" s="49" customFormat="1" ht="15" customHeight="1" x14ac:dyDescent="0.25">
      <c r="A61" s="82" t="s">
        <v>114</v>
      </c>
      <c r="B61" s="155">
        <v>3000</v>
      </c>
      <c r="C61" s="83" t="s">
        <v>42</v>
      </c>
      <c r="D61" s="187"/>
      <c r="E61" s="83"/>
      <c r="J61" s="112"/>
      <c r="K61" s="141"/>
    </row>
    <row r="62" spans="1:11" s="49" customFormat="1" ht="15" customHeight="1" x14ac:dyDescent="0.25">
      <c r="A62" s="82" t="s">
        <v>110</v>
      </c>
      <c r="B62" s="155">
        <v>90</v>
      </c>
      <c r="C62" s="83" t="s">
        <v>109</v>
      </c>
      <c r="D62" s="84"/>
      <c r="E62" s="83"/>
      <c r="J62" s="112"/>
      <c r="K62" s="141"/>
    </row>
    <row r="63" spans="1:11" s="49" customFormat="1" ht="15" customHeight="1" x14ac:dyDescent="0.25">
      <c r="A63" s="82" t="s">
        <v>65</v>
      </c>
      <c r="B63" s="219">
        <f>0.35/1.19</f>
        <v>0.29411764705882354</v>
      </c>
      <c r="C63" s="83" t="s">
        <v>58</v>
      </c>
      <c r="D63" s="180" t="s">
        <v>93</v>
      </c>
      <c r="E63" s="218">
        <f>StrompreisNetto*1.19</f>
        <v>0.35</v>
      </c>
      <c r="F63" s="83" t="s">
        <v>94</v>
      </c>
      <c r="J63" s="112"/>
      <c r="K63" s="141"/>
    </row>
    <row r="64" spans="1:11" s="49" customFormat="1" ht="15" customHeight="1" x14ac:dyDescent="0.25">
      <c r="A64" s="82" t="s">
        <v>123</v>
      </c>
      <c r="B64" s="35">
        <v>0.02</v>
      </c>
      <c r="C64" s="83" t="s">
        <v>1</v>
      </c>
      <c r="D64" s="84"/>
      <c r="E64" s="83"/>
      <c r="J64" s="112"/>
      <c r="K64" s="141"/>
    </row>
    <row r="65" spans="1:11" s="49" customFormat="1" ht="15" customHeight="1" x14ac:dyDescent="0.25">
      <c r="A65" s="82" t="s">
        <v>124</v>
      </c>
      <c r="B65" s="219">
        <v>5.8000000000000003E-2</v>
      </c>
      <c r="C65" s="83" t="s">
        <v>58</v>
      </c>
      <c r="D65" s="84"/>
      <c r="E65" s="83"/>
      <c r="J65" s="112"/>
      <c r="K65" s="141"/>
    </row>
    <row r="66" spans="1:11" s="49" customFormat="1" ht="15" customHeight="1" x14ac:dyDescent="0.25">
      <c r="A66" s="82" t="s">
        <v>125</v>
      </c>
      <c r="B66" s="35">
        <v>0.02</v>
      </c>
      <c r="C66" s="83" t="s">
        <v>1</v>
      </c>
      <c r="D66" s="84"/>
      <c r="E66" s="83"/>
      <c r="J66" s="112"/>
      <c r="K66" s="141"/>
    </row>
    <row r="67" spans="1:11" s="49" customFormat="1" ht="15" customHeight="1" x14ac:dyDescent="0.25">
      <c r="A67" s="82" t="s">
        <v>105</v>
      </c>
      <c r="B67" s="38" t="s">
        <v>57</v>
      </c>
      <c r="C67" s="83"/>
      <c r="D67" s="84"/>
      <c r="E67" s="83"/>
      <c r="J67" s="112"/>
      <c r="K67" s="141"/>
    </row>
    <row r="68" spans="1:11" s="49" customFormat="1" ht="15" customHeight="1" x14ac:dyDescent="0.25">
      <c r="A68" s="82" t="s">
        <v>38</v>
      </c>
      <c r="B68" s="38">
        <v>0.3</v>
      </c>
      <c r="C68" s="83"/>
      <c r="D68" s="84"/>
      <c r="E68" s="83"/>
      <c r="F68" s="81"/>
      <c r="J68" s="112"/>
      <c r="K68" s="141"/>
    </row>
    <row r="69" spans="1:11" s="49" customFormat="1" ht="15" customHeight="1" x14ac:dyDescent="0.25">
      <c r="A69" s="82" t="s">
        <v>21</v>
      </c>
      <c r="B69" s="38">
        <v>0.3</v>
      </c>
      <c r="C69" s="83"/>
      <c r="D69" s="84"/>
      <c r="E69" s="83"/>
      <c r="F69" s="81"/>
      <c r="J69" s="112"/>
      <c r="K69" s="141"/>
    </row>
    <row r="70" spans="1:11" s="49" customFormat="1" ht="15" customHeight="1" x14ac:dyDescent="0.25">
      <c r="A70" s="82" t="s">
        <v>202</v>
      </c>
      <c r="B70" s="38">
        <v>0</v>
      </c>
      <c r="C70" s="83"/>
      <c r="D70" s="84"/>
      <c r="E70" s="83"/>
      <c r="F70" s="81"/>
      <c r="J70" s="112"/>
      <c r="K70" s="141"/>
    </row>
    <row r="71" spans="1:11" s="49" customFormat="1" ht="15" customHeight="1" x14ac:dyDescent="0.25">
      <c r="A71" s="82" t="s">
        <v>83</v>
      </c>
      <c r="B71" s="36" t="s">
        <v>57</v>
      </c>
      <c r="C71" s="81"/>
      <c r="D71" s="47"/>
      <c r="E71" s="83"/>
      <c r="F71" s="81"/>
      <c r="H71" s="213"/>
      <c r="J71" s="112"/>
      <c r="K71" s="141"/>
    </row>
    <row r="72" spans="1:11" s="49" customFormat="1" ht="15" customHeight="1" x14ac:dyDescent="0.25">
      <c r="A72" s="82"/>
      <c r="B72" s="216"/>
      <c r="C72" s="81"/>
      <c r="D72" s="47"/>
      <c r="E72" s="83"/>
      <c r="F72" s="81"/>
      <c r="H72" s="213"/>
      <c r="J72" s="112"/>
      <c r="K72" s="141"/>
    </row>
    <row r="73" spans="1:11" s="49" customFormat="1" ht="15" customHeight="1" x14ac:dyDescent="0.25">
      <c r="A73" s="82" t="s">
        <v>200</v>
      </c>
      <c r="B73" s="223">
        <f>IF(AND(Anlagenleistung&lt;=30,IBNJahr&gt;2022),0%,19%)</f>
        <v>0</v>
      </c>
      <c r="C73" s="81"/>
      <c r="D73" s="47"/>
      <c r="E73" s="83"/>
      <c r="F73" s="81"/>
      <c r="H73" s="213"/>
      <c r="J73" s="112"/>
      <c r="K73" s="141"/>
    </row>
    <row r="74" spans="1:11" s="49" customFormat="1" ht="15" customHeight="1" x14ac:dyDescent="0.25">
      <c r="A74" s="83" t="s">
        <v>193</v>
      </c>
      <c r="B74" s="217">
        <f>IF(IBNJahr&gt;2022,0,IF(AND(IBNJahr=2022,IBNMonat&gt;6),0,eegUmlage))</f>
        <v>0</v>
      </c>
      <c r="C74" s="83" t="s">
        <v>58</v>
      </c>
      <c r="D74" s="220">
        <f>VLOOKUP(IBNJahr,E78:F88,2,TRUE)</f>
        <v>0</v>
      </c>
      <c r="E74" s="221" t="s">
        <v>58</v>
      </c>
      <c r="F74" s="81"/>
      <c r="J74" s="112"/>
      <c r="K74" s="141"/>
    </row>
    <row r="75" spans="1:11" s="49" customFormat="1" ht="15" customHeight="1" x14ac:dyDescent="0.25">
      <c r="A75" s="83" t="s">
        <v>195</v>
      </c>
      <c r="B75" s="177">
        <f>IF(IBNJahr&gt;2020,IF(kWp&lt;30,0%,40%),IF(kWp&lt;=10,0,IF(AND(IBNJahr&lt;2014,IBNMonat&lt;8),0,IF(IBNJahr&lt;2016,30%,IF(IBNJahr&lt;2017,35%,40%)))))</f>
        <v>0</v>
      </c>
      <c r="C75" s="83"/>
      <c r="D75" s="177"/>
      <c r="F75" s="81"/>
      <c r="J75" s="112"/>
      <c r="K75" s="141"/>
    </row>
    <row r="76" spans="1:11" ht="8.25" customHeight="1" x14ac:dyDescent="0.25">
      <c r="A76" s="101"/>
      <c r="B76" s="102"/>
      <c r="C76" s="102"/>
      <c r="D76" s="102"/>
      <c r="E76" s="172"/>
      <c r="F76" s="102"/>
      <c r="G76" s="102"/>
      <c r="H76" s="102"/>
      <c r="I76" s="102"/>
      <c r="J76" s="112"/>
    </row>
    <row r="77" spans="1:11" ht="15" customHeight="1" x14ac:dyDescent="0.2">
      <c r="A77" s="95" t="s">
        <v>98</v>
      </c>
      <c r="B77" s="48"/>
      <c r="C77" s="69"/>
      <c r="D77" s="69"/>
      <c r="E77" s="162" t="s">
        <v>100</v>
      </c>
      <c r="F77" s="173" t="s">
        <v>104</v>
      </c>
      <c r="H77" s="162" t="s">
        <v>108</v>
      </c>
    </row>
    <row r="78" spans="1:11" ht="15" customHeight="1" x14ac:dyDescent="0.2">
      <c r="A78" s="48"/>
      <c r="B78" s="46">
        <v>0</v>
      </c>
      <c r="C78" s="45" t="s">
        <v>82</v>
      </c>
      <c r="D78" s="181"/>
      <c r="E78" s="222">
        <v>2013</v>
      </c>
      <c r="F78" s="164">
        <v>5.2769999999999997E-2</v>
      </c>
      <c r="H78" s="163">
        <v>1</v>
      </c>
    </row>
    <row r="79" spans="1:11" ht="15" customHeight="1" x14ac:dyDescent="0.2">
      <c r="A79" s="48"/>
      <c r="B79" s="46">
        <v>1</v>
      </c>
      <c r="C79" s="45" t="s">
        <v>57</v>
      </c>
      <c r="D79" s="181"/>
      <c r="E79" s="222">
        <f>E78+1</f>
        <v>2014</v>
      </c>
      <c r="F79" s="164">
        <v>6.2399999999999997E-2</v>
      </c>
      <c r="H79" s="163">
        <f>H78+1</f>
        <v>2</v>
      </c>
    </row>
    <row r="80" spans="1:11" ht="15" customHeight="1" x14ac:dyDescent="0.2">
      <c r="A80" s="77"/>
      <c r="B80" s="46"/>
      <c r="C80" s="45"/>
      <c r="D80" s="182"/>
      <c r="E80" s="222">
        <f t="shared" ref="E80:E88" si="0">E79+1</f>
        <v>2015</v>
      </c>
      <c r="F80" s="164">
        <v>6.1699999999999998E-2</v>
      </c>
      <c r="H80" s="163">
        <f>H79+1</f>
        <v>3</v>
      </c>
    </row>
    <row r="81" spans="2:8" ht="15" customHeight="1" x14ac:dyDescent="0.2">
      <c r="B81" s="45"/>
      <c r="C81" s="45"/>
      <c r="D81" s="182"/>
      <c r="E81" s="222">
        <f t="shared" si="0"/>
        <v>2016</v>
      </c>
      <c r="F81" s="164">
        <v>6.3539999999999999E-2</v>
      </c>
      <c r="H81" s="163">
        <f>H80+1</f>
        <v>4</v>
      </c>
    </row>
    <row r="82" spans="2:8" ht="15" customHeight="1" x14ac:dyDescent="0.2">
      <c r="B82" s="70"/>
      <c r="C82" s="45"/>
      <c r="D82" s="182"/>
      <c r="E82" s="222">
        <f t="shared" si="0"/>
        <v>2017</v>
      </c>
      <c r="F82" s="164">
        <v>6.88E-2</v>
      </c>
      <c r="H82" s="163">
        <f t="shared" ref="H82:H89" si="1">H81+1</f>
        <v>5</v>
      </c>
    </row>
    <row r="83" spans="2:8" ht="15" customHeight="1" x14ac:dyDescent="0.2">
      <c r="B83" s="70"/>
      <c r="C83" s="45"/>
      <c r="D83" s="182"/>
      <c r="E83" s="222">
        <f t="shared" si="0"/>
        <v>2018</v>
      </c>
      <c r="F83" s="164">
        <v>6.7919999999999994E-2</v>
      </c>
      <c r="H83" s="163">
        <f t="shared" si="1"/>
        <v>6</v>
      </c>
    </row>
    <row r="84" spans="2:8" ht="15" customHeight="1" x14ac:dyDescent="0.2">
      <c r="B84" s="45"/>
      <c r="C84" s="45"/>
      <c r="D84" s="182"/>
      <c r="E84" s="222">
        <f t="shared" si="0"/>
        <v>2019</v>
      </c>
      <c r="F84" s="164">
        <v>6.4049999999999996E-2</v>
      </c>
      <c r="H84" s="163">
        <f t="shared" si="1"/>
        <v>7</v>
      </c>
    </row>
    <row r="85" spans="2:8" ht="15" customHeight="1" x14ac:dyDescent="0.2">
      <c r="B85" s="45"/>
      <c r="C85" s="45"/>
      <c r="D85" s="182"/>
      <c r="E85" s="222">
        <f t="shared" si="0"/>
        <v>2020</v>
      </c>
      <c r="F85" s="164">
        <v>6.7559999999999995E-2</v>
      </c>
      <c r="H85" s="163">
        <f t="shared" si="1"/>
        <v>8</v>
      </c>
    </row>
    <row r="86" spans="2:8" ht="15" customHeight="1" x14ac:dyDescent="0.2">
      <c r="B86" s="49"/>
      <c r="C86" s="49"/>
      <c r="D86" s="84"/>
      <c r="E86" s="222">
        <f t="shared" si="0"/>
        <v>2021</v>
      </c>
      <c r="F86" s="164">
        <v>6.5000000000000002E-2</v>
      </c>
      <c r="H86" s="163">
        <f t="shared" si="1"/>
        <v>9</v>
      </c>
    </row>
    <row r="87" spans="2:8" ht="15" customHeight="1" x14ac:dyDescent="0.2">
      <c r="B87" s="45"/>
      <c r="C87" s="45"/>
      <c r="D87" s="182"/>
      <c r="E87" s="222">
        <f t="shared" si="0"/>
        <v>2022</v>
      </c>
      <c r="F87" s="164">
        <v>3.7229999999999999E-2</v>
      </c>
      <c r="H87" s="163">
        <f t="shared" si="1"/>
        <v>10</v>
      </c>
    </row>
    <row r="88" spans="2:8" ht="15" customHeight="1" x14ac:dyDescent="0.2">
      <c r="B88" s="45"/>
      <c r="C88" s="45"/>
      <c r="D88" s="182"/>
      <c r="E88" s="222">
        <f t="shared" si="0"/>
        <v>2023</v>
      </c>
      <c r="F88" s="164">
        <v>0</v>
      </c>
      <c r="H88" s="163">
        <f t="shared" si="1"/>
        <v>11</v>
      </c>
    </row>
    <row r="89" spans="2:8" ht="15" customHeight="1" x14ac:dyDescent="0.2">
      <c r="B89" s="45"/>
      <c r="C89" s="45"/>
      <c r="D89" s="182"/>
      <c r="E89" s="174"/>
      <c r="H89" s="163">
        <f t="shared" si="1"/>
        <v>12</v>
      </c>
    </row>
  </sheetData>
  <sheetProtection sheet="1" objects="1" scenarios="1"/>
  <dataConsolidate/>
  <customSheetViews>
    <customSheetView guid="{36051EDE-EE05-46A8-9481-5CD2E0A132E3}" scale="90" hiddenColumns="1" showRuler="0">
      <selection activeCell="K14" sqref="K14"/>
      <pageMargins left="0.78740157480314965" right="0.78740157480314965" top="0.98425196850393704" bottom="0.98425196850393704" header="0.51181102362204722" footer="0.51181102362204722"/>
      <printOptions horizontalCentered="1" gridLines="1"/>
      <pageSetup paperSize="9" scale="77" orientation="portrait" horizontalDpi="300" verticalDpi="300"/>
      <headerFooter alignWithMargins="0">
        <oddHeader>&amp;F</oddHeader>
        <oddFooter>&amp;A</oddFooter>
      </headerFooter>
    </customSheetView>
  </customSheetViews>
  <phoneticPr fontId="0" type="noConversion"/>
  <dataValidations disablePrompts="1" count="6">
    <dataValidation type="list" allowBlank="1" showInputMessage="1" showErrorMessage="1" sqref="B36 B55:B57 B29 B67 B71:B72" xr:uid="{00000000-0002-0000-0100-000000000000}">
      <formula1>$C$78:$C$79</formula1>
    </dataValidation>
    <dataValidation type="list" allowBlank="1" showInputMessage="1" showErrorMessage="1" sqref="B21" xr:uid="{00000000-0002-0000-0100-000001000000}">
      <formula1>$B$78:$B$79</formula1>
    </dataValidation>
    <dataValidation type="list" showInputMessage="1" showErrorMessage="1" sqref="B54" xr:uid="{00000000-0002-0000-0100-000005000000}">
      <formula1>$C$78:$C$79</formula1>
    </dataValidation>
    <dataValidation type="list" allowBlank="1" showInputMessage="1" showErrorMessage="1" sqref="B35" xr:uid="{00000000-0002-0000-0100-000002000000}">
      <formula1>$H$78:$H$89</formula1>
    </dataValidation>
    <dataValidation type="list" allowBlank="1" showInputMessage="1" showErrorMessage="1" sqref="F78:F87 D74" xr:uid="{00000000-0002-0000-0100-000004000000}">
      <formula1>$F$78:$F$87</formula1>
    </dataValidation>
    <dataValidation type="list" allowBlank="1" showInputMessage="1" showErrorMessage="1" sqref="B34" xr:uid="{E6160D95-E7D2-4B4C-AA0B-D8365260BC05}">
      <formula1>$E$78:$E$88</formula1>
    </dataValidation>
  </dataValidations>
  <hyperlinks>
    <hyperlink ref="D44" r:id="rId1" xr:uid="{00000000-0004-0000-0100-000000000000}"/>
    <hyperlink ref="E27" r:id="rId2" xr:uid="{00000000-0004-0000-0100-000001000000}"/>
  </hyperlinks>
  <printOptions verticalCentered="1" gridLinesSet="0"/>
  <pageMargins left="0.78740157480314965" right="0.39370078740157483" top="0.78740157480314965" bottom="0.78740157480314965" header="0.51181102362204722" footer="0.51181102362204722"/>
  <pageSetup paperSize="9" scale="68" orientation="portrait" horizontalDpi="300" verticalDpi="300" r:id="rId3"/>
  <headerFooter scaleWithDoc="0" alignWithMargins="0">
    <oddHeader>&amp;F</oddHeader>
    <oddFooter>&amp;A</oddFooter>
  </headerFooter>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H35"/>
  <sheetViews>
    <sheetView workbookViewId="0">
      <selection activeCell="AI14" sqref="AI14"/>
    </sheetView>
  </sheetViews>
  <sheetFormatPr baseColWidth="10" defaultColWidth="10.42578125" defaultRowHeight="12.75" x14ac:dyDescent="0.2"/>
  <cols>
    <col min="1" max="1" width="4.42578125" style="2" customWidth="1"/>
    <col min="2" max="2" width="6.42578125" style="2" customWidth="1"/>
    <col min="3" max="5" width="10.28515625" style="2" customWidth="1"/>
    <col min="6" max="14" width="10.42578125" style="3" customWidth="1"/>
    <col min="15" max="15" width="10.42578125" style="4" customWidth="1"/>
    <col min="16" max="16" width="10.42578125" style="17" customWidth="1"/>
    <col min="17" max="17" width="10.42578125" style="3" customWidth="1"/>
    <col min="18" max="19" width="10.42578125" style="4" customWidth="1"/>
    <col min="20" max="21" width="10.42578125" style="17" customWidth="1"/>
    <col min="22" max="24" width="10.42578125" style="3" customWidth="1"/>
    <col min="25" max="25" width="10.42578125" style="17" customWidth="1"/>
    <col min="26" max="26" width="10.42578125" style="3" customWidth="1"/>
    <col min="27" max="27" width="10.42578125" style="224" customWidth="1"/>
    <col min="28" max="28" width="10.42578125" style="3" customWidth="1"/>
    <col min="29" max="29" width="10.42578125" style="5" customWidth="1"/>
    <col min="30" max="30" width="10.42578125" style="2"/>
    <col min="31" max="31" width="10.42578125" style="3"/>
    <col min="32" max="32" width="10.42578125" style="2"/>
    <col min="33" max="33" width="10.42578125" style="191" customWidth="1"/>
    <col min="34" max="16384" width="10.42578125" style="113"/>
  </cols>
  <sheetData>
    <row r="1" spans="1:34" s="116" customFormat="1" ht="17.25" customHeight="1" x14ac:dyDescent="0.25">
      <c r="A1" s="50" t="str">
        <f>Parameter!A1</f>
        <v>Wirtschaftlichkeit von Solarstrom</v>
      </c>
      <c r="B1" s="51"/>
      <c r="C1" s="51"/>
      <c r="D1" s="51"/>
      <c r="E1" s="51"/>
      <c r="F1" s="51"/>
      <c r="G1" s="51"/>
      <c r="H1" s="51"/>
      <c r="I1" s="51"/>
      <c r="J1" s="51"/>
      <c r="K1" s="51"/>
      <c r="L1" s="51"/>
      <c r="M1" s="51"/>
      <c r="N1" s="51"/>
      <c r="O1" s="51"/>
      <c r="P1" s="106"/>
      <c r="Q1" s="107"/>
      <c r="R1" s="107"/>
      <c r="S1" s="107"/>
      <c r="T1" s="108"/>
      <c r="U1" s="108"/>
      <c r="V1" s="107"/>
      <c r="W1" s="107"/>
      <c r="X1" s="107"/>
      <c r="Y1" s="108"/>
      <c r="Z1" s="107"/>
      <c r="AA1" s="224"/>
      <c r="AB1" s="109"/>
      <c r="AC1" s="109"/>
      <c r="AD1" s="109"/>
      <c r="AE1" s="110"/>
      <c r="AF1" s="109"/>
      <c r="AG1" s="56"/>
    </row>
    <row r="2" spans="1:34" s="117" customFormat="1" x14ac:dyDescent="0.2">
      <c r="A2" s="51" t="str">
        <f>ProgVersion</f>
        <v>Stand: 29.03.2023</v>
      </c>
      <c r="B2" s="51"/>
      <c r="C2" s="51"/>
      <c r="D2" s="51"/>
      <c r="E2" s="51"/>
      <c r="F2" s="152"/>
      <c r="G2" s="52"/>
      <c r="H2" s="151"/>
      <c r="I2" s="52"/>
      <c r="J2" s="152"/>
      <c r="K2" s="152"/>
      <c r="L2" s="52"/>
      <c r="M2" s="52"/>
      <c r="N2" s="52"/>
      <c r="O2" s="52"/>
      <c r="P2" s="53"/>
      <c r="Q2" s="54"/>
      <c r="R2" s="54"/>
      <c r="S2" s="54"/>
      <c r="T2" s="55"/>
      <c r="U2" s="55"/>
      <c r="V2" s="54"/>
      <c r="W2" s="54"/>
      <c r="X2" s="54"/>
      <c r="Y2" s="55"/>
      <c r="Z2" s="54"/>
      <c r="AA2" s="224"/>
      <c r="AB2" s="56"/>
      <c r="AC2" s="56"/>
      <c r="AD2" s="56"/>
      <c r="AE2" s="57"/>
      <c r="AF2" s="56"/>
      <c r="AG2" s="56"/>
    </row>
    <row r="3" spans="1:34" s="117" customFormat="1" x14ac:dyDescent="0.2">
      <c r="A3" s="51"/>
      <c r="B3" s="51"/>
      <c r="C3" s="51"/>
      <c r="D3" s="51"/>
      <c r="E3" s="51"/>
      <c r="F3" s="152"/>
      <c r="G3" s="52"/>
      <c r="H3" s="151"/>
      <c r="I3" s="52"/>
      <c r="J3" s="152"/>
      <c r="K3" s="152"/>
      <c r="M3" s="52"/>
      <c r="N3" s="52"/>
      <c r="O3" s="52"/>
      <c r="P3" s="53"/>
      <c r="Q3" s="54"/>
      <c r="R3" s="54"/>
      <c r="S3" s="54"/>
      <c r="T3" s="55"/>
      <c r="U3" s="55"/>
      <c r="V3" s="54"/>
      <c r="W3" s="54"/>
      <c r="X3" s="54"/>
      <c r="Y3" s="55"/>
      <c r="Z3" s="54"/>
      <c r="AA3" s="224"/>
      <c r="AB3" s="56"/>
      <c r="AC3" s="56"/>
      <c r="AD3" s="56"/>
      <c r="AE3" s="57"/>
      <c r="AF3" s="56"/>
      <c r="AG3" s="56"/>
    </row>
    <row r="4" spans="1:34" s="117" customFormat="1" x14ac:dyDescent="0.2">
      <c r="A4" s="56"/>
      <c r="B4" s="51"/>
      <c r="C4" s="51"/>
      <c r="D4" s="51"/>
      <c r="E4" s="51"/>
      <c r="F4" s="152"/>
      <c r="G4" s="52"/>
      <c r="H4" s="151"/>
      <c r="I4" s="52"/>
      <c r="J4" s="152"/>
      <c r="K4" s="152"/>
      <c r="L4" s="165"/>
      <c r="M4" s="52"/>
      <c r="N4" s="52"/>
      <c r="O4" s="52"/>
      <c r="P4" s="53"/>
      <c r="Q4" s="54"/>
      <c r="R4" s="54"/>
      <c r="S4" s="54"/>
      <c r="T4" s="54">
        <f>MwSt_Satz</f>
        <v>0</v>
      </c>
      <c r="U4" s="54"/>
      <c r="V4" s="54"/>
      <c r="W4" s="54"/>
      <c r="X4" s="54"/>
      <c r="Y4" s="55"/>
      <c r="Z4" s="54"/>
      <c r="AA4" s="224"/>
      <c r="AB4" s="56"/>
      <c r="AC4" s="56"/>
      <c r="AD4" s="56"/>
      <c r="AE4" s="57"/>
      <c r="AF4" s="56"/>
      <c r="AG4" s="56"/>
    </row>
    <row r="5" spans="1:34" s="118" customFormat="1" x14ac:dyDescent="0.2">
      <c r="A5" s="9"/>
      <c r="B5" s="9"/>
      <c r="C5" s="7" t="s">
        <v>68</v>
      </c>
      <c r="D5" s="7" t="s">
        <v>128</v>
      </c>
      <c r="E5" s="7" t="s">
        <v>128</v>
      </c>
      <c r="F5" s="7"/>
      <c r="G5" s="7" t="s">
        <v>69</v>
      </c>
      <c r="H5" s="7" t="s">
        <v>71</v>
      </c>
      <c r="I5" s="7" t="s">
        <v>78</v>
      </c>
      <c r="J5" s="7"/>
      <c r="K5" s="211" t="s">
        <v>101</v>
      </c>
      <c r="L5" s="7" t="s">
        <v>9</v>
      </c>
      <c r="N5" s="7" t="s">
        <v>22</v>
      </c>
      <c r="O5" s="7"/>
      <c r="P5" s="207"/>
      <c r="Q5" s="7" t="s">
        <v>23</v>
      </c>
      <c r="R5" s="7"/>
      <c r="S5" s="7"/>
      <c r="T5" s="207"/>
      <c r="U5" s="207"/>
      <c r="V5" s="7"/>
      <c r="W5" s="7"/>
      <c r="Z5" s="7" t="s">
        <v>6</v>
      </c>
      <c r="AA5" s="7" t="s">
        <v>75</v>
      </c>
      <c r="AB5" s="7" t="s">
        <v>133</v>
      </c>
      <c r="AE5" s="9" t="s">
        <v>81</v>
      </c>
      <c r="AF5" s="9" t="s">
        <v>167</v>
      </c>
    </row>
    <row r="6" spans="1:34" s="118" customFormat="1" x14ac:dyDescent="0.2">
      <c r="A6" s="208" t="s">
        <v>2</v>
      </c>
      <c r="B6" s="208" t="s">
        <v>134</v>
      </c>
      <c r="C6" s="206" t="s">
        <v>42</v>
      </c>
      <c r="D6" s="206" t="s">
        <v>129</v>
      </c>
      <c r="E6" s="206" t="s">
        <v>42</v>
      </c>
      <c r="F6" s="206" t="s">
        <v>126</v>
      </c>
      <c r="G6" s="208" t="s">
        <v>70</v>
      </c>
      <c r="H6" s="206" t="s">
        <v>80</v>
      </c>
      <c r="I6" s="208" t="s">
        <v>77</v>
      </c>
      <c r="J6" s="206" t="s">
        <v>104</v>
      </c>
      <c r="K6" s="212" t="s">
        <v>154</v>
      </c>
      <c r="L6" s="208" t="s">
        <v>10</v>
      </c>
      <c r="M6" s="208" t="s">
        <v>41</v>
      </c>
      <c r="N6" s="208" t="s">
        <v>3</v>
      </c>
      <c r="O6" s="208" t="s">
        <v>16</v>
      </c>
      <c r="P6" s="209" t="s">
        <v>14</v>
      </c>
      <c r="Q6" s="208" t="s">
        <v>25</v>
      </c>
      <c r="R6" s="208" t="s">
        <v>3</v>
      </c>
      <c r="S6" s="208" t="s">
        <v>16</v>
      </c>
      <c r="T6" s="210" t="s">
        <v>14</v>
      </c>
      <c r="U6" s="210" t="s">
        <v>191</v>
      </c>
      <c r="V6" s="208" t="s">
        <v>132</v>
      </c>
      <c r="W6" s="208" t="s">
        <v>44</v>
      </c>
      <c r="X6" s="208" t="s">
        <v>31</v>
      </c>
      <c r="Y6" s="210" t="s">
        <v>13</v>
      </c>
      <c r="Z6" s="208" t="s">
        <v>4</v>
      </c>
      <c r="AA6" s="208" t="s">
        <v>76</v>
      </c>
      <c r="AB6" s="208" t="s">
        <v>11</v>
      </c>
      <c r="AC6" s="208" t="s">
        <v>12</v>
      </c>
      <c r="AD6" s="206" t="s">
        <v>20</v>
      </c>
      <c r="AE6" s="208" t="s">
        <v>102</v>
      </c>
      <c r="AF6" s="208" t="s">
        <v>102</v>
      </c>
      <c r="AG6" s="206" t="s">
        <v>118</v>
      </c>
    </row>
    <row r="7" spans="1:34" s="118" customFormat="1" x14ac:dyDescent="0.2">
      <c r="A7" s="11">
        <v>-1</v>
      </c>
      <c r="B7" s="11"/>
      <c r="C7" s="11"/>
      <c r="D7" s="11"/>
      <c r="E7" s="11"/>
      <c r="F7" s="11"/>
      <c r="G7" s="11"/>
      <c r="H7" s="9"/>
      <c r="I7" s="125"/>
      <c r="J7" s="11"/>
      <c r="K7" s="11"/>
      <c r="L7" s="10"/>
      <c r="M7" s="10"/>
      <c r="N7" s="7"/>
      <c r="O7" s="8"/>
      <c r="P7" s="15">
        <f>Kredit1</f>
        <v>0</v>
      </c>
      <c r="Q7" s="11"/>
      <c r="R7" s="8"/>
      <c r="S7" s="8"/>
      <c r="T7" s="15">
        <f>Kredit2</f>
        <v>0</v>
      </c>
      <c r="U7" s="11">
        <f>-Investitionsabzug*(AnlagenpreisPV+BatteriespeicherJN*ZusatzkostenBatterie)</f>
        <v>0</v>
      </c>
      <c r="V7" s="11"/>
      <c r="W7" s="11"/>
      <c r="X7" s="10"/>
      <c r="Y7" s="200">
        <f>(AnlagenpreisPV+BatteriespeicherJN*ZusatzkostenBatterie)*IF(Kleinunternehmer="Ja",1+MwSt_Satz, 1)</f>
        <v>14000</v>
      </c>
      <c r="Z7" s="11">
        <f>U7</f>
        <v>0</v>
      </c>
      <c r="AA7" s="11">
        <f t="shared" ref="AA7:AA18" si="0">IF(OR(IBNJahr&lt;2021,Anlagenleistung&gt;10),-Z7*Steuersatz1,IF(Steuerbefreiung="ja",0,-Z7*Steuersatz1))</f>
        <v>0</v>
      </c>
      <c r="AB7" s="11">
        <f>V7+AA7</f>
        <v>0</v>
      </c>
      <c r="AC7" s="11">
        <f>AB7</f>
        <v>0</v>
      </c>
      <c r="AD7" s="11">
        <f>AC7</f>
        <v>0</v>
      </c>
      <c r="AE7" s="7"/>
      <c r="AF7" s="9"/>
      <c r="AG7" s="189"/>
    </row>
    <row r="8" spans="1:34" s="119" customFormat="1" x14ac:dyDescent="0.2">
      <c r="A8" s="11">
        <v>0</v>
      </c>
      <c r="B8" s="44">
        <f>IBNJahr</f>
        <v>2023</v>
      </c>
      <c r="C8" s="11">
        <f>VLOOKUP(IBNMonat,Solarertrag!C2:D13,2,TRUE)*Stromertrag*kWp</f>
        <v>9900</v>
      </c>
      <c r="D8" s="197">
        <f t="shared" ref="D8:D28" si="1">IF(Volleinspeisung="ja",0,(Direktnutzung+BatteriespeicherJN*EigennutzungSpeicher*(1-Ladeverluste)*(1-Speicherdegradation)^A8))</f>
        <v>0.2</v>
      </c>
      <c r="E8" s="11">
        <f>C8*D8</f>
        <v>1980</v>
      </c>
      <c r="F8" s="11">
        <f t="shared" ref="F8:F28" si="2">IF(Kleinunternehmer="ja",1,IF(KUR="nein",0,IF(A8&gt;6,1,0)))</f>
        <v>0</v>
      </c>
      <c r="G8" s="11">
        <f t="shared" ref="G8:G28" si="3">IF(Direktvermarktung="ja",0,C8*(1-(Direktnutzung+BatteriespeicherJN*Direktnutzung_Batteriespeicher)))*EEG_Vergütung</f>
        <v>649.44000000000005</v>
      </c>
      <c r="H8" s="11">
        <f t="shared" ref="H8:H28" si="4">E8*IF(Gewerbe="ja",1,1.19)*StrompreisNetto*(1+Strompreissteigerung)^A8</f>
        <v>693</v>
      </c>
      <c r="I8" s="11">
        <f>IF(Direktvermarktung="nein",0,StromerlösDirektvermarktung*C8*(1-(Direktnutzung+BatteriespeicherJN*Direktnutzung_Batteriespeicher))*(1+Parameter!B$66)^A8)</f>
        <v>0</v>
      </c>
      <c r="J8" s="11">
        <f t="shared" ref="J8:J28" si="5">-E8*eegUmlage*IF(DATE(IBNJahr,IBNMonat,1)&lt;DATE(2014,8,1),0,IF(IBNJahr&lt;2021,IF(kWp&lt;=10,0,eegUmlageAnteil),IF(kWp&lt;=30,0,eegUmlageAnteil)))*IF(OR(Gewerbe="ja",F8=1),1,1.19)</f>
        <v>0</v>
      </c>
      <c r="K8" s="11">
        <f t="shared" ref="K8:K28" si="6">IF(OR(Gewerbe="ja",F8=1),0,-D8*C8*MwSt_Satz*(StrompreisNetto+Grundgebühr/Stromverbrauch)*(1+Strompreissteigerung)^A8)</f>
        <v>0</v>
      </c>
      <c r="L8" s="11">
        <f>-Vorlaufkosten-LfdKosten*(1+Inflationsrate)^A9*IF(F8=1,1+MwSt_Satz,1)</f>
        <v>-483</v>
      </c>
      <c r="M8" s="11">
        <f>-Dachmiete</f>
        <v>0</v>
      </c>
      <c r="N8" s="11">
        <f>-(13-IBNMonat)/12*P7*Zinssatz1</f>
        <v>0</v>
      </c>
      <c r="O8" s="11">
        <f t="shared" ref="O8:O28" si="7">IF(OR(A8&gt;Laufzeit1,A8&lt;Tilgungsfrei1),0,IF(A8=Tilgungsfrei1,-P$7/(Laufzeit1-Tilgungsfrei1)*(13-IBNMonat)/12,IF(A8=Laufzeit1,-P$7/(Laufzeit1-Tilgungsfrei1)*(IBNMonat-1)/12,-P$7/(Laufzeit1-Tilgungsfrei1))))</f>
        <v>0</v>
      </c>
      <c r="P8" s="16">
        <f t="shared" ref="P8:P18" si="8">P7+O8</f>
        <v>0</v>
      </c>
      <c r="Q8" s="11">
        <v>0</v>
      </c>
      <c r="R8" s="11">
        <f>-T7*Zinssatz2*(13-IBNMonat)/12</f>
        <v>0</v>
      </c>
      <c r="S8" s="11">
        <v>0</v>
      </c>
      <c r="T8" s="16">
        <f>T7+S8</f>
        <v>0</v>
      </c>
      <c r="U8" s="11">
        <f>-U7</f>
        <v>0</v>
      </c>
      <c r="V8" s="11">
        <f>SUM(G8:O8)+Q8-EigenkapitalZuAnfang-Bereitstellung1*Kredit1+IF(AND(Gewerbe="nein",Kleinunternehmer="ja"),0,MwSt_Satz*(AnlagenpreisPV+BatteriespeicherJN*ZusatzkostenBatterie))</f>
        <v>-13140.56</v>
      </c>
      <c r="W8" s="11">
        <f>IF(Sonderabschreibung="ja",-Y$7*0.19,0)</f>
        <v>0</v>
      </c>
      <c r="X8" s="10">
        <f>-Y$7*0.05*(13-IBNMonat)/12</f>
        <v>-700</v>
      </c>
      <c r="Y8" s="16">
        <f t="shared" ref="Y8:Y13" si="9">Y7+W8+X8</f>
        <v>13300</v>
      </c>
      <c r="Z8" s="11">
        <f>SUM(G8:N8)+R8+W8+X8+U8</f>
        <v>159.44000000000005</v>
      </c>
      <c r="AA8" s="11">
        <f t="shared" si="0"/>
        <v>0</v>
      </c>
      <c r="AB8" s="11">
        <f t="shared" ref="AB8:AB28" si="10">V8+AA8</f>
        <v>-13140.56</v>
      </c>
      <c r="AC8" s="11">
        <f t="shared" ref="AC8:AC28" si="11">AB8/(1+ZinssatzBarwert)^A8</f>
        <v>-13140.56</v>
      </c>
      <c r="AD8" s="11">
        <f>AD7+AC8</f>
        <v>-13140.56</v>
      </c>
      <c r="AE8" s="11">
        <f t="shared" ref="AE8:AE28" si="12">-(L8+M8)/(1+ZinssatzBarwert)^A8</f>
        <v>483</v>
      </c>
      <c r="AF8" s="10">
        <f t="shared" ref="AF8:AF28" si="13">C8/(1+ZinssatzBarwert)^A8</f>
        <v>9900</v>
      </c>
      <c r="AG8" s="193">
        <v>1</v>
      </c>
    </row>
    <row r="9" spans="1:34" s="117" customFormat="1" ht="12.6" customHeight="1" x14ac:dyDescent="0.2">
      <c r="A9" s="11">
        <v>1</v>
      </c>
      <c r="B9" s="44">
        <f>B8+1</f>
        <v>2024</v>
      </c>
      <c r="C9" s="11">
        <f t="shared" ref="C9:C27" si="14">Stromertrag*kWp*(1-Ertragsminderung)^A9</f>
        <v>9970</v>
      </c>
      <c r="D9" s="197">
        <f t="shared" si="1"/>
        <v>0.2</v>
      </c>
      <c r="E9" s="11">
        <f t="shared" ref="E9:E28" si="15">C9*D9</f>
        <v>1994</v>
      </c>
      <c r="F9" s="11">
        <f t="shared" si="2"/>
        <v>0</v>
      </c>
      <c r="G9" s="11">
        <f t="shared" si="3"/>
        <v>654.03200000000004</v>
      </c>
      <c r="H9" s="11">
        <f t="shared" si="4"/>
        <v>711.85799999999995</v>
      </c>
      <c r="I9" s="11">
        <f>IF(Direktvermarktung="nein",0,StromerlösDirektvermarktung*C9*(1-(Direktnutzung+BatteriespeicherJN*Direktnutzung_Batteriespeicher))*(1+Parameter!B$66)^A9)</f>
        <v>0</v>
      </c>
      <c r="J9" s="11">
        <f t="shared" si="5"/>
        <v>0</v>
      </c>
      <c r="K9" s="11">
        <f t="shared" si="6"/>
        <v>0</v>
      </c>
      <c r="L9" s="11">
        <f t="shared" ref="L9:L28" si="16">-LfdKosten*(1+Inflationsrate)^A10*IF(F9=1,1+MwSt_Satz,1)</f>
        <v>-206.04499999999996</v>
      </c>
      <c r="M9" s="11">
        <f t="shared" ref="M9:M28" si="17">M8*(1+Inflationsrate)</f>
        <v>0</v>
      </c>
      <c r="N9" s="11">
        <f t="shared" ref="N9:N28" si="18">IF(A9=Laufzeit1,IF(A9&gt;Zinsbindung1,-P8*Zinssatz1NachZinsbindung*(13-IBNMonat)/12,-P8*Zinssatz1*(13-IBNMonat)/12),IF(A9&lt;Zinsbindung1,-P8*Zinssatz1,-P8*Zinssatz1NachZinsbindung))</f>
        <v>0</v>
      </c>
      <c r="O9" s="11">
        <f t="shared" si="7"/>
        <v>0</v>
      </c>
      <c r="P9" s="16">
        <f t="shared" si="8"/>
        <v>0</v>
      </c>
      <c r="Q9" s="11">
        <f t="shared" ref="Q9:Q28" si="19">IF(A9&gt;Laufzeit2,0,PMT(Zinssatz2,Laufzeit2,Kredit2))</f>
        <v>0</v>
      </c>
      <c r="R9" s="11">
        <f t="shared" ref="R9:R28" si="20">-T8*Zinssatz2</f>
        <v>0</v>
      </c>
      <c r="S9" s="11">
        <f t="shared" ref="S9:S23" si="21">Q9-R9</f>
        <v>0</v>
      </c>
      <c r="T9" s="16">
        <f t="shared" ref="T9:T28" si="22">T8+S9</f>
        <v>0</v>
      </c>
      <c r="U9" s="16"/>
      <c r="V9" s="11">
        <f t="shared" ref="V9:V28" si="23">SUM(G9:O9)+Q9</f>
        <v>1159.8449999999998</v>
      </c>
      <c r="W9" s="11">
        <v>0</v>
      </c>
      <c r="X9" s="10">
        <f>-(Y8-W9)*0.05</f>
        <v>-665</v>
      </c>
      <c r="Y9" s="16">
        <f t="shared" si="9"/>
        <v>12635</v>
      </c>
      <c r="Z9" s="11">
        <f t="shared" ref="Z9:Z28" si="24">SUM(G9:N9)+R9+W9+X9</f>
        <v>494.8449999999998</v>
      </c>
      <c r="AA9" s="11">
        <f t="shared" si="0"/>
        <v>0</v>
      </c>
      <c r="AB9" s="11">
        <f t="shared" si="10"/>
        <v>1159.8449999999998</v>
      </c>
      <c r="AC9" s="11">
        <f t="shared" si="11"/>
        <v>1126.0631067961162</v>
      </c>
      <c r="AD9" s="11">
        <f>AD8+AC9</f>
        <v>-12014.496893203883</v>
      </c>
      <c r="AE9" s="11">
        <f t="shared" si="12"/>
        <v>200.0436893203883</v>
      </c>
      <c r="AF9" s="10">
        <f t="shared" si="13"/>
        <v>9679.6116504854363</v>
      </c>
      <c r="AG9" s="193">
        <v>1</v>
      </c>
    </row>
    <row r="10" spans="1:34" s="117" customFormat="1" x14ac:dyDescent="0.2">
      <c r="A10" s="11">
        <v>2</v>
      </c>
      <c r="B10" s="44">
        <f t="shared" ref="B10:B28" si="25">B9+1</f>
        <v>2025</v>
      </c>
      <c r="C10" s="11">
        <f t="shared" si="14"/>
        <v>9940.09</v>
      </c>
      <c r="D10" s="197">
        <f t="shared" si="1"/>
        <v>0.2</v>
      </c>
      <c r="E10" s="11">
        <f t="shared" si="15"/>
        <v>1988.018</v>
      </c>
      <c r="F10" s="11">
        <f t="shared" si="2"/>
        <v>0</v>
      </c>
      <c r="G10" s="11">
        <f t="shared" si="3"/>
        <v>652.06990400000007</v>
      </c>
      <c r="H10" s="11">
        <f t="shared" si="4"/>
        <v>723.91687451999996</v>
      </c>
      <c r="I10" s="11">
        <f>IF(Direktvermarktung="nein",0,StromerlösDirektvermarktung*C10*(1-(Direktnutzung+BatteriespeicherJN*Direktnutzung_Batteriespeicher))*(1+Parameter!B$66)^A10)</f>
        <v>0</v>
      </c>
      <c r="J10" s="11">
        <f t="shared" si="5"/>
        <v>0</v>
      </c>
      <c r="K10" s="11">
        <f t="shared" si="6"/>
        <v>0</v>
      </c>
      <c r="L10" s="11">
        <f t="shared" si="16"/>
        <v>-209.13567499999994</v>
      </c>
      <c r="M10" s="11">
        <f t="shared" si="17"/>
        <v>0</v>
      </c>
      <c r="N10" s="11">
        <f t="shared" si="18"/>
        <v>0</v>
      </c>
      <c r="O10" s="11">
        <f t="shared" si="7"/>
        <v>0</v>
      </c>
      <c r="P10" s="16">
        <f t="shared" si="8"/>
        <v>0</v>
      </c>
      <c r="Q10" s="11">
        <f t="shared" si="19"/>
        <v>0</v>
      </c>
      <c r="R10" s="11">
        <f t="shared" si="20"/>
        <v>0</v>
      </c>
      <c r="S10" s="11">
        <f t="shared" si="21"/>
        <v>0</v>
      </c>
      <c r="T10" s="16">
        <f t="shared" si="22"/>
        <v>0</v>
      </c>
      <c r="U10" s="16"/>
      <c r="V10" s="11">
        <f t="shared" si="23"/>
        <v>1166.8511035199999</v>
      </c>
      <c r="W10" s="11">
        <v>0</v>
      </c>
      <c r="X10" s="10">
        <f>-(Y9-W10)*0.05</f>
        <v>-631.75</v>
      </c>
      <c r="Y10" s="16">
        <f t="shared" si="9"/>
        <v>12003.25</v>
      </c>
      <c r="Z10" s="11">
        <f t="shared" si="24"/>
        <v>535.10110351999992</v>
      </c>
      <c r="AA10" s="11">
        <f t="shared" si="0"/>
        <v>0</v>
      </c>
      <c r="AB10" s="11">
        <f t="shared" si="10"/>
        <v>1166.8511035199999</v>
      </c>
      <c r="AC10" s="11">
        <f t="shared" si="11"/>
        <v>1099.869076746159</v>
      </c>
      <c r="AD10" s="11">
        <f t="shared" ref="AD10:AD27" si="26">AD9+AC10</f>
        <v>-10914.627816457723</v>
      </c>
      <c r="AE10" s="11">
        <f t="shared" si="12"/>
        <v>197.13043170892632</v>
      </c>
      <c r="AF10" s="10">
        <f t="shared" si="13"/>
        <v>9369.4881704213403</v>
      </c>
      <c r="AG10" s="193">
        <v>1</v>
      </c>
    </row>
    <row r="11" spans="1:34" s="117" customFormat="1" x14ac:dyDescent="0.2">
      <c r="A11" s="11">
        <v>3</v>
      </c>
      <c r="B11" s="44">
        <f t="shared" si="25"/>
        <v>2026</v>
      </c>
      <c r="C11" s="11">
        <f t="shared" si="14"/>
        <v>9910.26973</v>
      </c>
      <c r="D11" s="197">
        <f t="shared" si="1"/>
        <v>0.2</v>
      </c>
      <c r="E11" s="11">
        <f t="shared" si="15"/>
        <v>1982.053946</v>
      </c>
      <c r="F11" s="11">
        <f t="shared" si="2"/>
        <v>0</v>
      </c>
      <c r="G11" s="11">
        <f t="shared" si="3"/>
        <v>650.11369428800003</v>
      </c>
      <c r="H11" s="11">
        <f t="shared" si="4"/>
        <v>736.18002637436871</v>
      </c>
      <c r="I11" s="11">
        <f>IF(Direktvermarktung="nein",0,StromerlösDirektvermarktung*C11*(1-(Direktnutzung+BatteriespeicherJN*Direktnutzung_Batteriespeicher))*(1+Parameter!B$66)^A11)</f>
        <v>0</v>
      </c>
      <c r="J11" s="11">
        <f t="shared" si="5"/>
        <v>0</v>
      </c>
      <c r="K11" s="11">
        <f t="shared" si="6"/>
        <v>0</v>
      </c>
      <c r="L11" s="11">
        <f t="shared" si="16"/>
        <v>-212.27271012499989</v>
      </c>
      <c r="M11" s="11">
        <f t="shared" si="17"/>
        <v>0</v>
      </c>
      <c r="N11" s="11">
        <f t="shared" si="18"/>
        <v>0</v>
      </c>
      <c r="O11" s="11">
        <f t="shared" si="7"/>
        <v>0</v>
      </c>
      <c r="P11" s="16">
        <f t="shared" si="8"/>
        <v>0</v>
      </c>
      <c r="Q11" s="11">
        <f t="shared" si="19"/>
        <v>0</v>
      </c>
      <c r="R11" s="11">
        <f t="shared" si="20"/>
        <v>0</v>
      </c>
      <c r="S11" s="11">
        <f t="shared" si="21"/>
        <v>0</v>
      </c>
      <c r="T11" s="16">
        <f t="shared" si="22"/>
        <v>0</v>
      </c>
      <c r="U11" s="16"/>
      <c r="V11" s="11">
        <f t="shared" si="23"/>
        <v>1174.021010537369</v>
      </c>
      <c r="W11" s="11">
        <v>0</v>
      </c>
      <c r="X11" s="10">
        <f>-(Y10-W11)*0.05</f>
        <v>-600.16250000000002</v>
      </c>
      <c r="Y11" s="16">
        <f t="shared" si="9"/>
        <v>11403.0875</v>
      </c>
      <c r="Z11" s="11">
        <f t="shared" si="24"/>
        <v>573.85851053736894</v>
      </c>
      <c r="AA11" s="11">
        <f t="shared" si="0"/>
        <v>0</v>
      </c>
      <c r="AB11" s="11">
        <f t="shared" si="10"/>
        <v>1174.021010537369</v>
      </c>
      <c r="AC11" s="11">
        <f t="shared" si="11"/>
        <v>1074.395535698641</v>
      </c>
      <c r="AD11" s="11">
        <f t="shared" si="26"/>
        <v>-9840.2322807590826</v>
      </c>
      <c r="AE11" s="11">
        <f t="shared" si="12"/>
        <v>194.25960017918464</v>
      </c>
      <c r="AF11" s="10">
        <f t="shared" si="13"/>
        <v>9069.3006853495881</v>
      </c>
      <c r="AG11" s="193">
        <v>1</v>
      </c>
      <c r="AH11" s="119"/>
    </row>
    <row r="12" spans="1:34" s="117" customFormat="1" x14ac:dyDescent="0.2">
      <c r="A12" s="11">
        <v>4</v>
      </c>
      <c r="B12" s="44">
        <f t="shared" si="25"/>
        <v>2027</v>
      </c>
      <c r="C12" s="11">
        <f t="shared" si="14"/>
        <v>9880.5389208100005</v>
      </c>
      <c r="D12" s="197">
        <f t="shared" si="1"/>
        <v>0.2</v>
      </c>
      <c r="E12" s="11">
        <f t="shared" si="15"/>
        <v>1976.1077841620001</v>
      </c>
      <c r="F12" s="11">
        <f t="shared" si="2"/>
        <v>0</v>
      </c>
      <c r="G12" s="11">
        <f t="shared" si="3"/>
        <v>648.1633532051361</v>
      </c>
      <c r="H12" s="11">
        <f t="shared" si="4"/>
        <v>748.65091602115069</v>
      </c>
      <c r="I12" s="11">
        <f>IF(Direktvermarktung="nein",0,StromerlösDirektvermarktung*C12*(1-(Direktnutzung+BatteriespeicherJN*Direktnutzung_Batteriespeicher))*(1+Parameter!B$66)^A12)</f>
        <v>0</v>
      </c>
      <c r="J12" s="11">
        <f t="shared" si="5"/>
        <v>0</v>
      </c>
      <c r="K12" s="11">
        <f t="shared" si="6"/>
        <v>0</v>
      </c>
      <c r="L12" s="11">
        <f t="shared" si="16"/>
        <v>-215.45680077687484</v>
      </c>
      <c r="M12" s="11">
        <f t="shared" si="17"/>
        <v>0</v>
      </c>
      <c r="N12" s="11">
        <f t="shared" si="18"/>
        <v>0</v>
      </c>
      <c r="O12" s="11">
        <f t="shared" si="7"/>
        <v>0</v>
      </c>
      <c r="P12" s="16">
        <f t="shared" si="8"/>
        <v>0</v>
      </c>
      <c r="Q12" s="11">
        <f t="shared" si="19"/>
        <v>0</v>
      </c>
      <c r="R12" s="11">
        <f t="shared" si="20"/>
        <v>0</v>
      </c>
      <c r="S12" s="11">
        <f t="shared" si="21"/>
        <v>0</v>
      </c>
      <c r="T12" s="16">
        <f t="shared" si="22"/>
        <v>0</v>
      </c>
      <c r="U12" s="16"/>
      <c r="V12" s="11">
        <f t="shared" si="23"/>
        <v>1181.357468449412</v>
      </c>
      <c r="W12" s="11">
        <f>IF(Sonderabschreibung="ja",-Y$7*0.01,0)</f>
        <v>0</v>
      </c>
      <c r="X12" s="10">
        <f>-(Y$8-W12)*0.05</f>
        <v>-665</v>
      </c>
      <c r="Y12" s="16">
        <f t="shared" si="9"/>
        <v>10738.0875</v>
      </c>
      <c r="Z12" s="11">
        <f t="shared" si="24"/>
        <v>516.35746844941195</v>
      </c>
      <c r="AA12" s="11">
        <f t="shared" si="0"/>
        <v>0</v>
      </c>
      <c r="AB12" s="11">
        <f t="shared" si="10"/>
        <v>1181.357468449412</v>
      </c>
      <c r="AC12" s="11">
        <f t="shared" si="11"/>
        <v>1049.6208096757698</v>
      </c>
      <c r="AD12" s="11">
        <f t="shared" si="26"/>
        <v>-8790.6114710833135</v>
      </c>
      <c r="AE12" s="11">
        <f t="shared" si="12"/>
        <v>191.43057687560426</v>
      </c>
      <c r="AF12" s="10">
        <f t="shared" si="13"/>
        <v>8778.7308575665447</v>
      </c>
      <c r="AG12" s="193">
        <v>1</v>
      </c>
    </row>
    <row r="13" spans="1:34" s="117" customFormat="1" x14ac:dyDescent="0.2">
      <c r="A13" s="11">
        <v>5</v>
      </c>
      <c r="B13" s="44">
        <f t="shared" si="25"/>
        <v>2028</v>
      </c>
      <c r="C13" s="11">
        <f t="shared" si="14"/>
        <v>9850.8973040475703</v>
      </c>
      <c r="D13" s="197">
        <f t="shared" si="1"/>
        <v>0.2</v>
      </c>
      <c r="E13" s="11">
        <f t="shared" si="15"/>
        <v>1970.1794608095142</v>
      </c>
      <c r="F13" s="11">
        <f t="shared" si="2"/>
        <v>0</v>
      </c>
      <c r="G13" s="11">
        <f t="shared" si="3"/>
        <v>646.21886314552069</v>
      </c>
      <c r="H13" s="11">
        <f t="shared" si="4"/>
        <v>761.33306253854903</v>
      </c>
      <c r="I13" s="11">
        <f>IF(Direktvermarktung="nein",0,StromerlösDirektvermarktung*C13*(1-(Direktnutzung+BatteriespeicherJN*Direktnutzung_Batteriespeicher))*(1+Parameter!B$66)^A13)</f>
        <v>0</v>
      </c>
      <c r="J13" s="11">
        <f t="shared" si="5"/>
        <v>0</v>
      </c>
      <c r="K13" s="11">
        <f t="shared" si="6"/>
        <v>0</v>
      </c>
      <c r="L13" s="11">
        <f t="shared" si="16"/>
        <v>-218.68865278852795</v>
      </c>
      <c r="M13" s="11">
        <f t="shared" si="17"/>
        <v>0</v>
      </c>
      <c r="N13" s="11">
        <f t="shared" si="18"/>
        <v>0</v>
      </c>
      <c r="O13" s="11">
        <f t="shared" si="7"/>
        <v>0</v>
      </c>
      <c r="P13" s="16">
        <f t="shared" si="8"/>
        <v>0</v>
      </c>
      <c r="Q13" s="11">
        <f t="shared" si="19"/>
        <v>0</v>
      </c>
      <c r="R13" s="11">
        <f t="shared" si="20"/>
        <v>0</v>
      </c>
      <c r="S13" s="11">
        <f t="shared" si="21"/>
        <v>0</v>
      </c>
      <c r="T13" s="16">
        <f t="shared" si="22"/>
        <v>0</v>
      </c>
      <c r="U13" s="16"/>
      <c r="V13" s="11">
        <f t="shared" si="23"/>
        <v>1188.863272895542</v>
      </c>
      <c r="W13" s="11"/>
      <c r="X13" s="10">
        <f>-Y$12/16</f>
        <v>-671.13046874999998</v>
      </c>
      <c r="Y13" s="16">
        <f t="shared" si="9"/>
        <v>10066.95703125</v>
      </c>
      <c r="Z13" s="11">
        <f t="shared" si="24"/>
        <v>517.73280414554199</v>
      </c>
      <c r="AA13" s="11">
        <f t="shared" si="0"/>
        <v>0</v>
      </c>
      <c r="AB13" s="11">
        <f t="shared" si="10"/>
        <v>1188.863272895542</v>
      </c>
      <c r="AC13" s="11">
        <f t="shared" si="11"/>
        <v>1025.5239026314023</v>
      </c>
      <c r="AD13" s="11">
        <f t="shared" si="26"/>
        <v>-7765.0875684519115</v>
      </c>
      <c r="AE13" s="11">
        <f t="shared" si="12"/>
        <v>188.64275294052263</v>
      </c>
      <c r="AF13" s="10">
        <f t="shared" si="13"/>
        <v>8497.4705485377144</v>
      </c>
      <c r="AG13" s="193">
        <v>1</v>
      </c>
    </row>
    <row r="14" spans="1:34" s="117" customFormat="1" x14ac:dyDescent="0.2">
      <c r="A14" s="11">
        <v>6</v>
      </c>
      <c r="B14" s="44">
        <f t="shared" si="25"/>
        <v>2029</v>
      </c>
      <c r="C14" s="11">
        <f t="shared" si="14"/>
        <v>9821.3446121354282</v>
      </c>
      <c r="D14" s="197">
        <f t="shared" si="1"/>
        <v>0.2</v>
      </c>
      <c r="E14" s="11">
        <f t="shared" si="15"/>
        <v>1964.2689224270857</v>
      </c>
      <c r="F14" s="11">
        <f t="shared" si="2"/>
        <v>0</v>
      </c>
      <c r="G14" s="11">
        <f t="shared" si="3"/>
        <v>644.28020655608418</v>
      </c>
      <c r="H14" s="11">
        <f t="shared" si="4"/>
        <v>774.23004461795199</v>
      </c>
      <c r="I14" s="11">
        <f>IF(Direktvermarktung="nein",0,StromerlösDirektvermarktung*C14*(1-(Direktnutzung+BatteriespeicherJN*Direktnutzung_Batteriespeicher))*(1+Parameter!B$66)^A14)</f>
        <v>0</v>
      </c>
      <c r="J14" s="11">
        <f t="shared" si="5"/>
        <v>0</v>
      </c>
      <c r="K14" s="11">
        <f t="shared" si="6"/>
        <v>0</v>
      </c>
      <c r="L14" s="11">
        <f t="shared" si="16"/>
        <v>-221.96898258035583</v>
      </c>
      <c r="M14" s="11">
        <f t="shared" si="17"/>
        <v>0</v>
      </c>
      <c r="N14" s="11">
        <f t="shared" si="18"/>
        <v>0</v>
      </c>
      <c r="O14" s="11">
        <f t="shared" si="7"/>
        <v>0</v>
      </c>
      <c r="P14" s="16">
        <f t="shared" si="8"/>
        <v>0</v>
      </c>
      <c r="Q14" s="11">
        <f t="shared" si="19"/>
        <v>0</v>
      </c>
      <c r="R14" s="11">
        <f t="shared" si="20"/>
        <v>0</v>
      </c>
      <c r="S14" s="11">
        <f t="shared" si="21"/>
        <v>0</v>
      </c>
      <c r="T14" s="16">
        <f t="shared" si="22"/>
        <v>0</v>
      </c>
      <c r="U14" s="16"/>
      <c r="V14" s="11">
        <f t="shared" si="23"/>
        <v>1196.5412685936803</v>
      </c>
      <c r="W14" s="11"/>
      <c r="X14" s="10">
        <f t="shared" ref="X14:X28" si="27">-Y$12/16</f>
        <v>-671.13046874999998</v>
      </c>
      <c r="Y14" s="15">
        <f t="shared" ref="Y14:Y27" si="28">Y13+X14</f>
        <v>9395.8265625000004</v>
      </c>
      <c r="Z14" s="11">
        <f t="shared" si="24"/>
        <v>525.41079984368037</v>
      </c>
      <c r="AA14" s="11">
        <f t="shared" si="0"/>
        <v>0</v>
      </c>
      <c r="AB14" s="11">
        <f t="shared" si="10"/>
        <v>1196.5412685936803</v>
      </c>
      <c r="AC14" s="11">
        <f t="shared" si="11"/>
        <v>1002.0844749194953</v>
      </c>
      <c r="AD14" s="11">
        <f t="shared" si="26"/>
        <v>-6763.0030935324157</v>
      </c>
      <c r="AE14" s="11">
        <f t="shared" si="12"/>
        <v>185.89552838313634</v>
      </c>
      <c r="AF14" s="10">
        <f t="shared" si="13"/>
        <v>8225.2214921282539</v>
      </c>
      <c r="AG14" s="193">
        <f>IF(AD14&lt;0,1,0)</f>
        <v>1</v>
      </c>
    </row>
    <row r="15" spans="1:34" s="117" customFormat="1" x14ac:dyDescent="0.2">
      <c r="A15" s="11">
        <v>7</v>
      </c>
      <c r="B15" s="44">
        <f t="shared" si="25"/>
        <v>2030</v>
      </c>
      <c r="C15" s="11">
        <f t="shared" si="14"/>
        <v>9791.8805782990221</v>
      </c>
      <c r="D15" s="197">
        <f t="shared" si="1"/>
        <v>0.2</v>
      </c>
      <c r="E15" s="11">
        <f t="shared" si="15"/>
        <v>1958.3761156598046</v>
      </c>
      <c r="F15" s="11">
        <f t="shared" si="2"/>
        <v>1</v>
      </c>
      <c r="G15" s="11">
        <f t="shared" si="3"/>
        <v>642.34736593641594</v>
      </c>
      <c r="H15" s="11">
        <f t="shared" si="4"/>
        <v>787.3455015737801</v>
      </c>
      <c r="I15" s="11">
        <f>IF(Direktvermarktung="nein",0,StromerlösDirektvermarktung*C15*(1-(Direktnutzung+BatteriespeicherJN*Direktnutzung_Batteriespeicher))*(1+Parameter!B$66)^A15)</f>
        <v>0</v>
      </c>
      <c r="J15" s="11">
        <f t="shared" si="5"/>
        <v>0</v>
      </c>
      <c r="K15" s="11">
        <f t="shared" si="6"/>
        <v>0</v>
      </c>
      <c r="L15" s="11">
        <f t="shared" si="16"/>
        <v>-225.29851731906115</v>
      </c>
      <c r="M15" s="11">
        <f t="shared" si="17"/>
        <v>0</v>
      </c>
      <c r="N15" s="11">
        <f t="shared" si="18"/>
        <v>0</v>
      </c>
      <c r="O15" s="11">
        <f t="shared" si="7"/>
        <v>0</v>
      </c>
      <c r="P15" s="16">
        <f t="shared" si="8"/>
        <v>0</v>
      </c>
      <c r="Q15" s="11">
        <f t="shared" si="19"/>
        <v>0</v>
      </c>
      <c r="R15" s="11">
        <f t="shared" si="20"/>
        <v>0</v>
      </c>
      <c r="S15" s="11">
        <f t="shared" si="21"/>
        <v>0</v>
      </c>
      <c r="T15" s="16">
        <f t="shared" si="22"/>
        <v>0</v>
      </c>
      <c r="U15" s="16"/>
      <c r="V15" s="11">
        <f t="shared" si="23"/>
        <v>1204.3943501911349</v>
      </c>
      <c r="W15" s="11"/>
      <c r="X15" s="10">
        <f t="shared" si="27"/>
        <v>-671.13046874999998</v>
      </c>
      <c r="Y15" s="15">
        <f t="shared" si="28"/>
        <v>8724.6960937500007</v>
      </c>
      <c r="Z15" s="11">
        <f t="shared" si="24"/>
        <v>533.26388144113491</v>
      </c>
      <c r="AA15" s="11">
        <f t="shared" si="0"/>
        <v>0</v>
      </c>
      <c r="AB15" s="11">
        <f t="shared" si="10"/>
        <v>1204.3943501911349</v>
      </c>
      <c r="AC15" s="11">
        <f t="shared" si="11"/>
        <v>979.2828224503063</v>
      </c>
      <c r="AD15" s="11">
        <f t="shared" si="26"/>
        <v>-5783.7202710821093</v>
      </c>
      <c r="AE15" s="11">
        <f t="shared" si="12"/>
        <v>183.1883119503722</v>
      </c>
      <c r="AF15" s="10">
        <f t="shared" si="13"/>
        <v>7961.6949783027849</v>
      </c>
      <c r="AG15" s="193">
        <f t="shared" ref="AG15:AG28" si="29">IF(AD15&lt;0,1,0)</f>
        <v>1</v>
      </c>
    </row>
    <row r="16" spans="1:34" s="117" customFormat="1" x14ac:dyDescent="0.2">
      <c r="A16" s="11">
        <v>8</v>
      </c>
      <c r="B16" s="44">
        <f t="shared" si="25"/>
        <v>2031</v>
      </c>
      <c r="C16" s="11">
        <f t="shared" si="14"/>
        <v>9762.5049365641244</v>
      </c>
      <c r="D16" s="197">
        <f t="shared" si="1"/>
        <v>0.2</v>
      </c>
      <c r="E16" s="11">
        <f t="shared" si="15"/>
        <v>1952.5009873128249</v>
      </c>
      <c r="F16" s="11">
        <f t="shared" si="2"/>
        <v>1</v>
      </c>
      <c r="G16" s="11">
        <f t="shared" si="3"/>
        <v>640.42032383860658</v>
      </c>
      <c r="H16" s="11">
        <f t="shared" si="4"/>
        <v>800.6831343704398</v>
      </c>
      <c r="I16" s="11">
        <f>IF(Direktvermarktung="nein",0,StromerlösDirektvermarktung*C16*(1-(Direktnutzung+BatteriespeicherJN*Direktnutzung_Batteriespeicher))*(1+Parameter!B$66)^A16)</f>
        <v>0</v>
      </c>
      <c r="J16" s="11">
        <f t="shared" si="5"/>
        <v>0</v>
      </c>
      <c r="K16" s="11">
        <f t="shared" si="6"/>
        <v>0</v>
      </c>
      <c r="L16" s="11">
        <f t="shared" si="16"/>
        <v>-228.67799507884703</v>
      </c>
      <c r="M16" s="11">
        <f t="shared" si="17"/>
        <v>0</v>
      </c>
      <c r="N16" s="11">
        <f t="shared" si="18"/>
        <v>0</v>
      </c>
      <c r="O16" s="11">
        <f t="shared" si="7"/>
        <v>0</v>
      </c>
      <c r="P16" s="16">
        <f t="shared" si="8"/>
        <v>0</v>
      </c>
      <c r="Q16" s="11">
        <f t="shared" si="19"/>
        <v>0</v>
      </c>
      <c r="R16" s="11">
        <f t="shared" si="20"/>
        <v>0</v>
      </c>
      <c r="S16" s="11">
        <f t="shared" si="21"/>
        <v>0</v>
      </c>
      <c r="T16" s="16">
        <f t="shared" si="22"/>
        <v>0</v>
      </c>
      <c r="U16" s="16"/>
      <c r="V16" s="11">
        <f t="shared" si="23"/>
        <v>1212.4254631301994</v>
      </c>
      <c r="W16" s="11"/>
      <c r="X16" s="10">
        <f t="shared" si="27"/>
        <v>-671.13046874999998</v>
      </c>
      <c r="Y16" s="15">
        <f t="shared" si="28"/>
        <v>8053.5656250000011</v>
      </c>
      <c r="Z16" s="11">
        <f t="shared" si="24"/>
        <v>541.29499438019946</v>
      </c>
      <c r="AA16" s="11">
        <f t="shared" si="0"/>
        <v>0</v>
      </c>
      <c r="AB16" s="11">
        <f t="shared" si="10"/>
        <v>1212.4254631301994</v>
      </c>
      <c r="AC16" s="11">
        <f t="shared" si="11"/>
        <v>957.09985651232967</v>
      </c>
      <c r="AD16" s="11">
        <f t="shared" si="26"/>
        <v>-4826.6204145697793</v>
      </c>
      <c r="AE16" s="11">
        <f t="shared" si="12"/>
        <v>180.52052099963862</v>
      </c>
      <c r="AF16" s="10">
        <f t="shared" si="13"/>
        <v>7706.6115469591032</v>
      </c>
      <c r="AG16" s="193">
        <f t="shared" si="29"/>
        <v>1</v>
      </c>
    </row>
    <row r="17" spans="1:33" s="117" customFormat="1" x14ac:dyDescent="0.2">
      <c r="A17" s="11">
        <v>9</v>
      </c>
      <c r="B17" s="44">
        <f t="shared" si="25"/>
        <v>2032</v>
      </c>
      <c r="C17" s="11">
        <f t="shared" si="14"/>
        <v>9733.2174217544325</v>
      </c>
      <c r="D17" s="197">
        <f t="shared" si="1"/>
        <v>0.2</v>
      </c>
      <c r="E17" s="11">
        <f t="shared" si="15"/>
        <v>1946.6434843508866</v>
      </c>
      <c r="F17" s="11">
        <f t="shared" si="2"/>
        <v>1</v>
      </c>
      <c r="G17" s="11">
        <f t="shared" si="3"/>
        <v>638.49906286709086</v>
      </c>
      <c r="H17" s="11">
        <f t="shared" si="4"/>
        <v>814.24670666667521</v>
      </c>
      <c r="I17" s="11">
        <f>IF(Direktvermarktung="nein",0,StromerlösDirektvermarktung*C17*(1-(Direktnutzung+BatteriespeicherJN*Direktnutzung_Batteriespeicher))*(1+Parameter!B$66)^A17)</f>
        <v>0</v>
      </c>
      <c r="J17" s="11">
        <f t="shared" si="5"/>
        <v>0</v>
      </c>
      <c r="K17" s="11">
        <f t="shared" si="6"/>
        <v>0</v>
      </c>
      <c r="L17" s="11">
        <f t="shared" si="16"/>
        <v>-232.10816500502972</v>
      </c>
      <c r="M17" s="11">
        <f t="shared" si="17"/>
        <v>0</v>
      </c>
      <c r="N17" s="11">
        <f t="shared" si="18"/>
        <v>0</v>
      </c>
      <c r="O17" s="11">
        <f t="shared" si="7"/>
        <v>0</v>
      </c>
      <c r="P17" s="16">
        <f t="shared" si="8"/>
        <v>0</v>
      </c>
      <c r="Q17" s="11">
        <f t="shared" si="19"/>
        <v>0</v>
      </c>
      <c r="R17" s="11">
        <f t="shared" si="20"/>
        <v>0</v>
      </c>
      <c r="S17" s="11">
        <f t="shared" si="21"/>
        <v>0</v>
      </c>
      <c r="T17" s="16">
        <f t="shared" si="22"/>
        <v>0</v>
      </c>
      <c r="U17" s="16"/>
      <c r="V17" s="11">
        <f t="shared" si="23"/>
        <v>1220.6376045287366</v>
      </c>
      <c r="W17" s="11"/>
      <c r="X17" s="10">
        <f t="shared" si="27"/>
        <v>-671.13046874999998</v>
      </c>
      <c r="Y17" s="15">
        <f t="shared" si="28"/>
        <v>7382.4351562500015</v>
      </c>
      <c r="Z17" s="11">
        <f t="shared" si="24"/>
        <v>549.5071357787366</v>
      </c>
      <c r="AA17" s="11">
        <f t="shared" si="0"/>
        <v>0</v>
      </c>
      <c r="AB17" s="11">
        <f t="shared" si="10"/>
        <v>1220.6376045287366</v>
      </c>
      <c r="AC17" s="11">
        <f t="shared" si="11"/>
        <v>935.5170842386666</v>
      </c>
      <c r="AD17" s="11">
        <f t="shared" si="26"/>
        <v>-3891.1033303311128</v>
      </c>
      <c r="AE17" s="11">
        <f t="shared" si="12"/>
        <v>177.89158137343026</v>
      </c>
      <c r="AF17" s="10">
        <f t="shared" si="13"/>
        <v>7459.7006915710936</v>
      </c>
      <c r="AG17" s="193">
        <f t="shared" si="29"/>
        <v>1</v>
      </c>
    </row>
    <row r="18" spans="1:33" s="117" customFormat="1" x14ac:dyDescent="0.2">
      <c r="A18" s="11">
        <v>10</v>
      </c>
      <c r="B18" s="44">
        <f t="shared" si="25"/>
        <v>2033</v>
      </c>
      <c r="C18" s="11">
        <f t="shared" si="14"/>
        <v>9704.01776948917</v>
      </c>
      <c r="D18" s="197">
        <f t="shared" si="1"/>
        <v>0.2</v>
      </c>
      <c r="E18" s="11">
        <f t="shared" si="15"/>
        <v>1940.803553897834</v>
      </c>
      <c r="F18" s="11">
        <f t="shared" si="2"/>
        <v>1</v>
      </c>
      <c r="G18" s="11">
        <f t="shared" si="3"/>
        <v>636.58356567848955</v>
      </c>
      <c r="H18" s="11">
        <f t="shared" si="4"/>
        <v>828.0400458776088</v>
      </c>
      <c r="I18" s="11">
        <f>IF(Direktvermarktung="nein",0,StromerlösDirektvermarktung*C18*(1-(Direktnutzung+BatteriespeicherJN*Direktnutzung_Batteriespeicher))*(1+Parameter!B$66)^A18)</f>
        <v>0</v>
      </c>
      <c r="J18" s="11">
        <f t="shared" si="5"/>
        <v>0</v>
      </c>
      <c r="K18" s="11">
        <f t="shared" si="6"/>
        <v>0</v>
      </c>
      <c r="L18" s="11">
        <f t="shared" si="16"/>
        <v>-235.58978748010512</v>
      </c>
      <c r="M18" s="11">
        <f t="shared" si="17"/>
        <v>0</v>
      </c>
      <c r="N18" s="11">
        <f t="shared" si="18"/>
        <v>0</v>
      </c>
      <c r="O18" s="11">
        <f t="shared" si="7"/>
        <v>0</v>
      </c>
      <c r="P18" s="16">
        <f t="shared" si="8"/>
        <v>0</v>
      </c>
      <c r="Q18" s="11">
        <f t="shared" si="19"/>
        <v>0</v>
      </c>
      <c r="R18" s="11">
        <f t="shared" si="20"/>
        <v>0</v>
      </c>
      <c r="S18" s="11">
        <f t="shared" si="21"/>
        <v>0</v>
      </c>
      <c r="T18" s="16">
        <f t="shared" si="22"/>
        <v>0</v>
      </c>
      <c r="U18" s="16"/>
      <c r="V18" s="11">
        <f t="shared" si="23"/>
        <v>1229.0338240759932</v>
      </c>
      <c r="W18" s="11"/>
      <c r="X18" s="10">
        <f t="shared" si="27"/>
        <v>-671.13046874999998</v>
      </c>
      <c r="Y18" s="15">
        <f t="shared" si="28"/>
        <v>6711.3046875000018</v>
      </c>
      <c r="Z18" s="11">
        <f t="shared" si="24"/>
        <v>557.90335532599318</v>
      </c>
      <c r="AA18" s="11">
        <f t="shared" si="0"/>
        <v>0</v>
      </c>
      <c r="AB18" s="11">
        <f t="shared" si="10"/>
        <v>1229.0338240759932</v>
      </c>
      <c r="AC18" s="11">
        <f t="shared" si="11"/>
        <v>914.51658969719881</v>
      </c>
      <c r="AD18" s="11">
        <f t="shared" si="26"/>
        <v>-2976.5867406339139</v>
      </c>
      <c r="AE18" s="11">
        <f t="shared" si="12"/>
        <v>175.30092727575891</v>
      </c>
      <c r="AF18" s="10">
        <f t="shared" si="13"/>
        <v>7220.7005723265838</v>
      </c>
      <c r="AG18" s="193">
        <f t="shared" si="29"/>
        <v>1</v>
      </c>
    </row>
    <row r="19" spans="1:33" s="117" customFormat="1" x14ac:dyDescent="0.2">
      <c r="A19" s="11">
        <v>11</v>
      </c>
      <c r="B19" s="44">
        <f t="shared" si="25"/>
        <v>2034</v>
      </c>
      <c r="C19" s="11">
        <f t="shared" si="14"/>
        <v>9674.9057161807013</v>
      </c>
      <c r="D19" s="197">
        <f t="shared" si="1"/>
        <v>0.2</v>
      </c>
      <c r="E19" s="11">
        <f t="shared" si="15"/>
        <v>1934.9811432361403</v>
      </c>
      <c r="F19" s="11">
        <f t="shared" si="2"/>
        <v>1</v>
      </c>
      <c r="G19" s="11">
        <f t="shared" si="3"/>
        <v>634.67381498145403</v>
      </c>
      <c r="H19" s="11">
        <f t="shared" si="4"/>
        <v>842.06704425477517</v>
      </c>
      <c r="I19" s="11">
        <f>IF(Direktvermarktung="nein",0,StromerlösDirektvermarktung*C19*(1-(Direktnutzung+BatteriespeicherJN*Direktnutzung_Batteriespeicher))*(1+Parameter!B$66)^A19)</f>
        <v>0</v>
      </c>
      <c r="J19" s="11">
        <f t="shared" si="5"/>
        <v>0</v>
      </c>
      <c r="K19" s="11">
        <f t="shared" si="6"/>
        <v>0</v>
      </c>
      <c r="L19" s="11">
        <f t="shared" si="16"/>
        <v>-239.12363429230666</v>
      </c>
      <c r="M19" s="11">
        <f t="shared" si="17"/>
        <v>0</v>
      </c>
      <c r="N19" s="11">
        <f t="shared" si="18"/>
        <v>0</v>
      </c>
      <c r="O19" s="11">
        <f t="shared" si="7"/>
        <v>0</v>
      </c>
      <c r="P19" s="16">
        <f t="shared" ref="P19:P27" si="30">P18+O19</f>
        <v>0</v>
      </c>
      <c r="Q19" s="11">
        <f t="shared" si="19"/>
        <v>0</v>
      </c>
      <c r="R19" s="11">
        <f t="shared" si="20"/>
        <v>0</v>
      </c>
      <c r="S19" s="11">
        <f t="shared" si="21"/>
        <v>0</v>
      </c>
      <c r="T19" s="16">
        <f t="shared" si="22"/>
        <v>0</v>
      </c>
      <c r="U19" s="16"/>
      <c r="V19" s="11">
        <f t="shared" si="23"/>
        <v>1237.6172249439226</v>
      </c>
      <c r="W19" s="11"/>
      <c r="X19" s="10">
        <f t="shared" si="27"/>
        <v>-671.13046874999998</v>
      </c>
      <c r="Y19" s="15">
        <f t="shared" si="28"/>
        <v>6040.1742187500022</v>
      </c>
      <c r="Z19" s="11">
        <f t="shared" si="24"/>
        <v>566.48675619392259</v>
      </c>
      <c r="AA19" s="11">
        <f t="shared" ref="AA19:AA28" si="31">IF(OR(IBNJahr&lt;2021,Anlagenleistung&gt;10),-Z19*Steuersatz1,IF(Steuerbefreiung="ja",0,-Z19*Steuersatz2))</f>
        <v>0</v>
      </c>
      <c r="AB19" s="11">
        <f t="shared" si="10"/>
        <v>1237.6172249439226</v>
      </c>
      <c r="AC19" s="11">
        <f t="shared" si="11"/>
        <v>894.08101558460612</v>
      </c>
      <c r="AD19" s="11">
        <f t="shared" si="26"/>
        <v>-2082.5057250493078</v>
      </c>
      <c r="AE19" s="11">
        <f t="shared" si="12"/>
        <v>172.74800115038374</v>
      </c>
      <c r="AF19" s="10">
        <f t="shared" si="13"/>
        <v>6989.3577384559248</v>
      </c>
      <c r="AG19" s="193">
        <f t="shared" si="29"/>
        <v>1</v>
      </c>
    </row>
    <row r="20" spans="1:33" s="117" customFormat="1" x14ac:dyDescent="0.2">
      <c r="A20" s="11">
        <v>12</v>
      </c>
      <c r="B20" s="44">
        <f t="shared" si="25"/>
        <v>2035</v>
      </c>
      <c r="C20" s="11">
        <f t="shared" si="14"/>
        <v>9645.8809990321588</v>
      </c>
      <c r="D20" s="197">
        <f t="shared" si="1"/>
        <v>0.2</v>
      </c>
      <c r="E20" s="11">
        <f t="shared" si="15"/>
        <v>1929.1761998064319</v>
      </c>
      <c r="F20" s="11">
        <f t="shared" si="2"/>
        <v>1</v>
      </c>
      <c r="G20" s="11">
        <f t="shared" si="3"/>
        <v>632.76979353650972</v>
      </c>
      <c r="H20" s="11">
        <f t="shared" si="4"/>
        <v>856.33165998445122</v>
      </c>
      <c r="I20" s="11">
        <f>IF(Direktvermarktung="nein",0,StromerlösDirektvermarktung*C20*(1-(Direktnutzung+BatteriespeicherJN*Direktnutzung_Batteriespeicher))*(1+Parameter!B$66)^A20)</f>
        <v>0</v>
      </c>
      <c r="J20" s="11">
        <f t="shared" si="5"/>
        <v>0</v>
      </c>
      <c r="K20" s="11">
        <f t="shared" si="6"/>
        <v>0</v>
      </c>
      <c r="L20" s="11">
        <f t="shared" si="16"/>
        <v>-242.71048880669125</v>
      </c>
      <c r="M20" s="11">
        <f t="shared" si="17"/>
        <v>0</v>
      </c>
      <c r="N20" s="11">
        <f t="shared" si="18"/>
        <v>0</v>
      </c>
      <c r="O20" s="11">
        <f t="shared" si="7"/>
        <v>0</v>
      </c>
      <c r="P20" s="16">
        <f t="shared" si="30"/>
        <v>0</v>
      </c>
      <c r="Q20" s="11">
        <f t="shared" si="19"/>
        <v>0</v>
      </c>
      <c r="R20" s="11">
        <f t="shared" si="20"/>
        <v>0</v>
      </c>
      <c r="S20" s="11">
        <f t="shared" si="21"/>
        <v>0</v>
      </c>
      <c r="T20" s="16">
        <f t="shared" si="22"/>
        <v>0</v>
      </c>
      <c r="U20" s="16"/>
      <c r="V20" s="11">
        <f t="shared" si="23"/>
        <v>1246.3909647142698</v>
      </c>
      <c r="W20" s="11"/>
      <c r="X20" s="10">
        <f t="shared" si="27"/>
        <v>-671.13046874999998</v>
      </c>
      <c r="Y20" s="15">
        <f t="shared" si="28"/>
        <v>5369.0437500000025</v>
      </c>
      <c r="Z20" s="11">
        <f t="shared" si="24"/>
        <v>575.26049596426981</v>
      </c>
      <c r="AA20" s="11">
        <f t="shared" si="31"/>
        <v>0</v>
      </c>
      <c r="AB20" s="11">
        <f t="shared" si="10"/>
        <v>1246.3909647142698</v>
      </c>
      <c r="AC20" s="11">
        <f t="shared" si="11"/>
        <v>874.19354550489879</v>
      </c>
      <c r="AD20" s="11">
        <f t="shared" si="26"/>
        <v>-1208.312179544409</v>
      </c>
      <c r="AE20" s="11">
        <f t="shared" si="12"/>
        <v>170.23225356081508</v>
      </c>
      <c r="AF20" s="10">
        <f t="shared" si="13"/>
        <v>6765.4268594568521</v>
      </c>
      <c r="AG20" s="193">
        <f t="shared" si="29"/>
        <v>1</v>
      </c>
    </row>
    <row r="21" spans="1:33" s="117" customFormat="1" x14ac:dyDescent="0.2">
      <c r="A21" s="11">
        <v>13</v>
      </c>
      <c r="B21" s="44">
        <f t="shared" si="25"/>
        <v>2036</v>
      </c>
      <c r="C21" s="11">
        <f t="shared" si="14"/>
        <v>9616.9433560350626</v>
      </c>
      <c r="D21" s="197">
        <f t="shared" si="1"/>
        <v>0.2</v>
      </c>
      <c r="E21" s="11">
        <f t="shared" si="15"/>
        <v>1923.3886712070125</v>
      </c>
      <c r="F21" s="11">
        <f t="shared" si="2"/>
        <v>1</v>
      </c>
      <c r="G21" s="11">
        <f t="shared" si="3"/>
        <v>630.87148415590013</v>
      </c>
      <c r="H21" s="11">
        <f t="shared" si="4"/>
        <v>870.83791830458767</v>
      </c>
      <c r="I21" s="11">
        <f>IF(Direktvermarktung="nein",0,StromerlösDirektvermarktung*C21*(1-(Direktnutzung+BatteriespeicherJN*Direktnutzung_Batteriespeicher))*(1+Parameter!B$66)^A21)</f>
        <v>0</v>
      </c>
      <c r="J21" s="11">
        <f t="shared" si="5"/>
        <v>0</v>
      </c>
      <c r="K21" s="11">
        <f t="shared" si="6"/>
        <v>0</v>
      </c>
      <c r="L21" s="11">
        <f t="shared" si="16"/>
        <v>-246.35114613879153</v>
      </c>
      <c r="M21" s="11">
        <f t="shared" si="17"/>
        <v>0</v>
      </c>
      <c r="N21" s="11">
        <f t="shared" si="18"/>
        <v>0</v>
      </c>
      <c r="O21" s="11">
        <f t="shared" si="7"/>
        <v>0</v>
      </c>
      <c r="P21" s="16">
        <f t="shared" si="30"/>
        <v>0</v>
      </c>
      <c r="Q21" s="11">
        <f t="shared" si="19"/>
        <v>0</v>
      </c>
      <c r="R21" s="11">
        <f t="shared" si="20"/>
        <v>0</v>
      </c>
      <c r="S21" s="11">
        <f t="shared" si="21"/>
        <v>0</v>
      </c>
      <c r="T21" s="16">
        <f t="shared" si="22"/>
        <v>0</v>
      </c>
      <c r="U21" s="16"/>
      <c r="V21" s="11">
        <f t="shared" si="23"/>
        <v>1255.3582563216962</v>
      </c>
      <c r="W21" s="11"/>
      <c r="X21" s="10">
        <f t="shared" si="27"/>
        <v>-671.13046874999998</v>
      </c>
      <c r="Y21" s="15">
        <f t="shared" si="28"/>
        <v>4697.9132812500029</v>
      </c>
      <c r="Z21" s="11">
        <f t="shared" si="24"/>
        <v>584.22778757169624</v>
      </c>
      <c r="AA21" s="11">
        <f t="shared" si="31"/>
        <v>0</v>
      </c>
      <c r="AB21" s="11">
        <f t="shared" si="10"/>
        <v>1255.3582563216962</v>
      </c>
      <c r="AC21" s="11">
        <f t="shared" si="11"/>
        <v>854.83788681375836</v>
      </c>
      <c r="AD21" s="11">
        <f t="shared" si="26"/>
        <v>-353.47429273065063</v>
      </c>
      <c r="AE21" s="11">
        <f t="shared" si="12"/>
        <v>167.75314307206528</v>
      </c>
      <c r="AF21" s="10">
        <f t="shared" si="13"/>
        <v>6548.6704649305657</v>
      </c>
      <c r="AG21" s="193">
        <f t="shared" si="29"/>
        <v>1</v>
      </c>
    </row>
    <row r="22" spans="1:33" s="117" customFormat="1" x14ac:dyDescent="0.2">
      <c r="A22" s="11">
        <v>14</v>
      </c>
      <c r="B22" s="44">
        <f t="shared" si="25"/>
        <v>2037</v>
      </c>
      <c r="C22" s="11">
        <f t="shared" si="14"/>
        <v>9588.0925259669584</v>
      </c>
      <c r="D22" s="197">
        <f t="shared" si="1"/>
        <v>0.2</v>
      </c>
      <c r="E22" s="11">
        <f t="shared" si="15"/>
        <v>1917.6185051933917</v>
      </c>
      <c r="F22" s="11">
        <f t="shared" si="2"/>
        <v>1</v>
      </c>
      <c r="G22" s="11">
        <f t="shared" si="3"/>
        <v>628.97886970343245</v>
      </c>
      <c r="H22" s="11">
        <f t="shared" si="4"/>
        <v>885.58991264066765</v>
      </c>
      <c r="I22" s="11">
        <f>IF(Direktvermarktung="nein",0,StromerlösDirektvermarktung*C22*(1-(Direktnutzung+BatteriespeicherJN*Direktnutzung_Batteriespeicher))*(1+Parameter!B$66)^A22)</f>
        <v>0</v>
      </c>
      <c r="J22" s="11">
        <f t="shared" si="5"/>
        <v>0</v>
      </c>
      <c r="K22" s="11">
        <f t="shared" si="6"/>
        <v>0</v>
      </c>
      <c r="L22" s="11">
        <f t="shared" si="16"/>
        <v>-250.04641333087338</v>
      </c>
      <c r="M22" s="11">
        <f t="shared" si="17"/>
        <v>0</v>
      </c>
      <c r="N22" s="11">
        <f t="shared" si="18"/>
        <v>0</v>
      </c>
      <c r="O22" s="11">
        <f t="shared" si="7"/>
        <v>0</v>
      </c>
      <c r="P22" s="16">
        <f t="shared" si="30"/>
        <v>0</v>
      </c>
      <c r="Q22" s="11">
        <f t="shared" si="19"/>
        <v>0</v>
      </c>
      <c r="R22" s="11">
        <f t="shared" si="20"/>
        <v>0</v>
      </c>
      <c r="S22" s="11">
        <f t="shared" si="21"/>
        <v>0</v>
      </c>
      <c r="T22" s="16">
        <f t="shared" si="22"/>
        <v>0</v>
      </c>
      <c r="U22" s="16"/>
      <c r="V22" s="11">
        <f t="shared" si="23"/>
        <v>1264.5223690132268</v>
      </c>
      <c r="W22" s="11"/>
      <c r="X22" s="10">
        <f t="shared" si="27"/>
        <v>-671.13046874999998</v>
      </c>
      <c r="Y22" s="15">
        <f t="shared" si="28"/>
        <v>4026.7828125000028</v>
      </c>
      <c r="Z22" s="11">
        <f t="shared" si="24"/>
        <v>593.39190026322683</v>
      </c>
      <c r="AA22" s="11">
        <f t="shared" si="31"/>
        <v>0</v>
      </c>
      <c r="AB22" s="11">
        <f t="shared" si="10"/>
        <v>1264.5223690132268</v>
      </c>
      <c r="AC22" s="11">
        <f t="shared" si="11"/>
        <v>835.99825401058683</v>
      </c>
      <c r="AD22" s="11">
        <f t="shared" si="26"/>
        <v>482.5239612799362</v>
      </c>
      <c r="AE22" s="11">
        <f t="shared" si="12"/>
        <v>165.31013613412256</v>
      </c>
      <c r="AF22" s="10">
        <f t="shared" si="13"/>
        <v>6338.8586927531778</v>
      </c>
      <c r="AG22" s="193">
        <f t="shared" si="29"/>
        <v>0</v>
      </c>
    </row>
    <row r="23" spans="1:33" s="117" customFormat="1" x14ac:dyDescent="0.2">
      <c r="A23" s="11">
        <v>15</v>
      </c>
      <c r="B23" s="44">
        <f t="shared" si="25"/>
        <v>2038</v>
      </c>
      <c r="C23" s="11">
        <f t="shared" si="14"/>
        <v>9559.328248389058</v>
      </c>
      <c r="D23" s="197">
        <f t="shared" si="1"/>
        <v>0.2</v>
      </c>
      <c r="E23" s="11">
        <f t="shared" si="15"/>
        <v>1911.8656496778117</v>
      </c>
      <c r="F23" s="11">
        <f t="shared" si="2"/>
        <v>1</v>
      </c>
      <c r="G23" s="11">
        <f t="shared" si="3"/>
        <v>627.09193309432226</v>
      </c>
      <c r="H23" s="11">
        <f t="shared" si="4"/>
        <v>900.59180576080041</v>
      </c>
      <c r="I23" s="11">
        <f>IF(Direktvermarktung="nein",0,StromerlösDirektvermarktung*C23*(1-(Direktnutzung+BatteriespeicherJN*Direktnutzung_Batteriespeicher))*(1+Parameter!B$66)^A23)</f>
        <v>0</v>
      </c>
      <c r="J23" s="11">
        <f t="shared" si="5"/>
        <v>0</v>
      </c>
      <c r="K23" s="11">
        <f t="shared" si="6"/>
        <v>0</v>
      </c>
      <c r="L23" s="11">
        <f t="shared" si="16"/>
        <v>-253.79710953083645</v>
      </c>
      <c r="M23" s="11">
        <f t="shared" si="17"/>
        <v>0</v>
      </c>
      <c r="N23" s="11">
        <f t="shared" si="18"/>
        <v>0</v>
      </c>
      <c r="O23" s="11">
        <f t="shared" si="7"/>
        <v>0</v>
      </c>
      <c r="P23" s="16">
        <f t="shared" si="30"/>
        <v>0</v>
      </c>
      <c r="Q23" s="11">
        <f t="shared" si="19"/>
        <v>0</v>
      </c>
      <c r="R23" s="11">
        <f t="shared" si="20"/>
        <v>0</v>
      </c>
      <c r="S23" s="11">
        <f t="shared" si="21"/>
        <v>0</v>
      </c>
      <c r="T23" s="16">
        <f t="shared" si="22"/>
        <v>0</v>
      </c>
      <c r="U23" s="16"/>
      <c r="V23" s="11">
        <f t="shared" si="23"/>
        <v>1273.8866293242861</v>
      </c>
      <c r="W23" s="11"/>
      <c r="X23" s="10">
        <f t="shared" si="27"/>
        <v>-671.13046874999998</v>
      </c>
      <c r="Y23" s="15">
        <f t="shared" si="28"/>
        <v>3355.6523437500027</v>
      </c>
      <c r="Z23" s="11">
        <f t="shared" si="24"/>
        <v>602.75616057428613</v>
      </c>
      <c r="AA23" s="11">
        <f t="shared" si="31"/>
        <v>0</v>
      </c>
      <c r="AB23" s="11">
        <f t="shared" si="10"/>
        <v>1273.8866293242861</v>
      </c>
      <c r="AC23" s="11">
        <f t="shared" si="11"/>
        <v>817.65935266072688</v>
      </c>
      <c r="AD23" s="11">
        <f t="shared" si="26"/>
        <v>1300.1833139406631</v>
      </c>
      <c r="AE23" s="11">
        <f t="shared" si="12"/>
        <v>162.90270696712074</v>
      </c>
      <c r="AF23" s="10">
        <f t="shared" si="13"/>
        <v>6135.7690453154546</v>
      </c>
      <c r="AG23" s="193">
        <f t="shared" si="29"/>
        <v>0</v>
      </c>
    </row>
    <row r="24" spans="1:33" s="117" customFormat="1" x14ac:dyDescent="0.2">
      <c r="A24" s="11">
        <v>16</v>
      </c>
      <c r="B24" s="44">
        <f t="shared" si="25"/>
        <v>2039</v>
      </c>
      <c r="C24" s="11">
        <f t="shared" si="14"/>
        <v>9530.6502636438909</v>
      </c>
      <c r="D24" s="197">
        <f t="shared" si="1"/>
        <v>0.2</v>
      </c>
      <c r="E24" s="11">
        <f t="shared" si="15"/>
        <v>1906.1300527287783</v>
      </c>
      <c r="F24" s="11">
        <f t="shared" si="2"/>
        <v>1</v>
      </c>
      <c r="G24" s="11">
        <f t="shared" si="3"/>
        <v>625.21065729503937</v>
      </c>
      <c r="H24" s="11">
        <f t="shared" si="4"/>
        <v>915.84783095038847</v>
      </c>
      <c r="I24" s="11">
        <f>IF(Direktvermarktung="nein",0,StromerlösDirektvermarktung*C24*(1-(Direktnutzung+BatteriespeicherJN*Direktnutzung_Batteriespeicher))*(1+Parameter!B$66)^A24)</f>
        <v>0</v>
      </c>
      <c r="J24" s="11">
        <f t="shared" si="5"/>
        <v>0</v>
      </c>
      <c r="K24" s="11">
        <f t="shared" si="6"/>
        <v>0</v>
      </c>
      <c r="L24" s="11">
        <f t="shared" si="16"/>
        <v>-257.60406617379897</v>
      </c>
      <c r="M24" s="11">
        <f t="shared" si="17"/>
        <v>0</v>
      </c>
      <c r="N24" s="11">
        <f t="shared" si="18"/>
        <v>0</v>
      </c>
      <c r="O24" s="11">
        <f t="shared" si="7"/>
        <v>0</v>
      </c>
      <c r="P24" s="16">
        <f t="shared" si="30"/>
        <v>0</v>
      </c>
      <c r="Q24" s="11">
        <f t="shared" si="19"/>
        <v>0</v>
      </c>
      <c r="R24" s="11">
        <f t="shared" si="20"/>
        <v>0</v>
      </c>
      <c r="S24" s="11">
        <f>Q24-R24</f>
        <v>0</v>
      </c>
      <c r="T24" s="16">
        <f t="shared" si="22"/>
        <v>0</v>
      </c>
      <c r="U24" s="16"/>
      <c r="V24" s="11">
        <f t="shared" si="23"/>
        <v>1283.4544220716289</v>
      </c>
      <c r="W24" s="11"/>
      <c r="X24" s="10">
        <f t="shared" si="27"/>
        <v>-671.13046874999998</v>
      </c>
      <c r="Y24" s="15">
        <f t="shared" si="28"/>
        <v>2684.5218750000026</v>
      </c>
      <c r="Z24" s="11">
        <f t="shared" si="24"/>
        <v>612.32395332162889</v>
      </c>
      <c r="AA24" s="11">
        <f t="shared" si="31"/>
        <v>0</v>
      </c>
      <c r="AB24" s="11">
        <f t="shared" si="10"/>
        <v>1283.4544220716289</v>
      </c>
      <c r="AC24" s="11">
        <f t="shared" si="11"/>
        <v>799.80636383089779</v>
      </c>
      <c r="AD24" s="11">
        <f t="shared" si="26"/>
        <v>2099.9896777715608</v>
      </c>
      <c r="AE24" s="11">
        <f t="shared" si="12"/>
        <v>160.53033744818211</v>
      </c>
      <c r="AF24" s="10">
        <f t="shared" si="13"/>
        <v>5939.1861535723392</v>
      </c>
      <c r="AG24" s="193">
        <f t="shared" si="29"/>
        <v>0</v>
      </c>
    </row>
    <row r="25" spans="1:33" s="117" customFormat="1" x14ac:dyDescent="0.2">
      <c r="A25" s="11">
        <v>17</v>
      </c>
      <c r="B25" s="44">
        <f t="shared" si="25"/>
        <v>2040</v>
      </c>
      <c r="C25" s="11">
        <f t="shared" si="14"/>
        <v>9502.0583128529597</v>
      </c>
      <c r="D25" s="197">
        <f t="shared" si="1"/>
        <v>0.2</v>
      </c>
      <c r="E25" s="11">
        <f t="shared" si="15"/>
        <v>1900.4116625705919</v>
      </c>
      <c r="F25" s="11">
        <f t="shared" si="2"/>
        <v>1</v>
      </c>
      <c r="G25" s="11">
        <f t="shared" si="3"/>
        <v>623.33502532315413</v>
      </c>
      <c r="H25" s="11">
        <f t="shared" si="4"/>
        <v>931.36229320668804</v>
      </c>
      <c r="I25" s="11">
        <f>IF(Direktvermarktung="nein",0,StromerlösDirektvermarktung*C25*(1-(Direktnutzung+BatteriespeicherJN*Direktnutzung_Batteriespeicher))*(1+Parameter!B$66)^A25)</f>
        <v>0</v>
      </c>
      <c r="J25" s="11">
        <f t="shared" si="5"/>
        <v>0</v>
      </c>
      <c r="K25" s="11">
        <f t="shared" si="6"/>
        <v>0</v>
      </c>
      <c r="L25" s="11">
        <f t="shared" si="16"/>
        <v>-261.46812716640591</v>
      </c>
      <c r="M25" s="11">
        <f t="shared" si="17"/>
        <v>0</v>
      </c>
      <c r="N25" s="11">
        <f t="shared" si="18"/>
        <v>0</v>
      </c>
      <c r="O25" s="11">
        <f t="shared" si="7"/>
        <v>0</v>
      </c>
      <c r="P25" s="16">
        <f t="shared" si="30"/>
        <v>0</v>
      </c>
      <c r="Q25" s="11">
        <f t="shared" si="19"/>
        <v>0</v>
      </c>
      <c r="R25" s="11">
        <f t="shared" si="20"/>
        <v>0</v>
      </c>
      <c r="S25" s="11">
        <f>Q25-R25</f>
        <v>0</v>
      </c>
      <c r="T25" s="16">
        <f t="shared" si="22"/>
        <v>0</v>
      </c>
      <c r="U25" s="16"/>
      <c r="V25" s="11">
        <f t="shared" si="23"/>
        <v>1293.2291913634363</v>
      </c>
      <c r="W25" s="11"/>
      <c r="X25" s="10">
        <f t="shared" si="27"/>
        <v>-671.13046874999998</v>
      </c>
      <c r="Y25" s="15">
        <f t="shared" si="28"/>
        <v>2013.3914062500025</v>
      </c>
      <c r="Z25" s="11">
        <f t="shared" si="24"/>
        <v>622.09872261343628</v>
      </c>
      <c r="AA25" s="11">
        <f t="shared" si="31"/>
        <v>0</v>
      </c>
      <c r="AB25" s="11">
        <f t="shared" si="10"/>
        <v>1293.2291913634363</v>
      </c>
      <c r="AC25" s="11">
        <f t="shared" si="11"/>
        <v>782.42492902141373</v>
      </c>
      <c r="AD25" s="11">
        <f t="shared" si="26"/>
        <v>2882.4146067929746</v>
      </c>
      <c r="AE25" s="11">
        <f t="shared" si="12"/>
        <v>158.19251699990758</v>
      </c>
      <c r="AF25" s="10">
        <f t="shared" si="13"/>
        <v>5748.9015486520611</v>
      </c>
      <c r="AG25" s="193">
        <f t="shared" si="29"/>
        <v>0</v>
      </c>
    </row>
    <row r="26" spans="1:33" s="117" customFormat="1" x14ac:dyDescent="0.2">
      <c r="A26" s="11">
        <v>18</v>
      </c>
      <c r="B26" s="44">
        <f t="shared" si="25"/>
        <v>2041</v>
      </c>
      <c r="C26" s="11">
        <f t="shared" si="14"/>
        <v>9473.5521379144011</v>
      </c>
      <c r="D26" s="197">
        <f t="shared" si="1"/>
        <v>0.2</v>
      </c>
      <c r="E26" s="11">
        <f t="shared" si="15"/>
        <v>1894.7104275828804</v>
      </c>
      <c r="F26" s="11">
        <f t="shared" si="2"/>
        <v>1</v>
      </c>
      <c r="G26" s="11">
        <f t="shared" si="3"/>
        <v>621.46502024718484</v>
      </c>
      <c r="H26" s="11">
        <f t="shared" si="4"/>
        <v>947.13957045360951</v>
      </c>
      <c r="I26" s="11">
        <f>IF(Direktvermarktung="nein",0,StromerlösDirektvermarktung*C26*(1-(Direktnutzung+BatteriespeicherJN*Direktnutzung_Batteriespeicher))*(1+Parameter!B$66)^A26)</f>
        <v>0</v>
      </c>
      <c r="J26" s="11">
        <f t="shared" si="5"/>
        <v>0</v>
      </c>
      <c r="K26" s="11">
        <f t="shared" si="6"/>
        <v>0</v>
      </c>
      <c r="L26" s="11">
        <f t="shared" si="16"/>
        <v>-265.39014907390197</v>
      </c>
      <c r="M26" s="11">
        <f t="shared" si="17"/>
        <v>0</v>
      </c>
      <c r="N26" s="11">
        <f t="shared" si="18"/>
        <v>0</v>
      </c>
      <c r="O26" s="11">
        <f t="shared" si="7"/>
        <v>0</v>
      </c>
      <c r="P26" s="16">
        <f t="shared" si="30"/>
        <v>0</v>
      </c>
      <c r="Q26" s="11">
        <f t="shared" si="19"/>
        <v>0</v>
      </c>
      <c r="R26" s="11">
        <f t="shared" si="20"/>
        <v>0</v>
      </c>
      <c r="S26" s="11">
        <f>Q26-R26</f>
        <v>0</v>
      </c>
      <c r="T26" s="16">
        <f t="shared" si="22"/>
        <v>0</v>
      </c>
      <c r="U26" s="16"/>
      <c r="V26" s="11">
        <f t="shared" si="23"/>
        <v>1303.2144416268923</v>
      </c>
      <c r="W26" s="11"/>
      <c r="X26" s="10">
        <f t="shared" si="27"/>
        <v>-671.13046874999998</v>
      </c>
      <c r="Y26" s="15">
        <f t="shared" si="28"/>
        <v>1342.2609375000025</v>
      </c>
      <c r="Z26" s="11">
        <f t="shared" si="24"/>
        <v>632.08397287689229</v>
      </c>
      <c r="AA26" s="11">
        <f t="shared" si="31"/>
        <v>0</v>
      </c>
      <c r="AB26" s="11">
        <f t="shared" si="10"/>
        <v>1303.2144416268923</v>
      </c>
      <c r="AC26" s="11">
        <f t="shared" si="11"/>
        <v>765.50113557930138</v>
      </c>
      <c r="AD26" s="11">
        <f t="shared" si="26"/>
        <v>3647.9157423722759</v>
      </c>
      <c r="AE26" s="11">
        <f t="shared" si="12"/>
        <v>155.88874248049143</v>
      </c>
      <c r="AF26" s="10">
        <f t="shared" si="13"/>
        <v>5564.7134407826261</v>
      </c>
      <c r="AG26" s="193">
        <f t="shared" si="29"/>
        <v>0</v>
      </c>
    </row>
    <row r="27" spans="1:33" s="117" customFormat="1" x14ac:dyDescent="0.2">
      <c r="A27" s="11">
        <v>19</v>
      </c>
      <c r="B27" s="44">
        <f t="shared" si="25"/>
        <v>2042</v>
      </c>
      <c r="C27" s="11">
        <f t="shared" si="14"/>
        <v>9445.1314815006572</v>
      </c>
      <c r="D27" s="197">
        <f t="shared" si="1"/>
        <v>0.2</v>
      </c>
      <c r="E27" s="11">
        <f t="shared" si="15"/>
        <v>1889.0262963001314</v>
      </c>
      <c r="F27" s="199">
        <f t="shared" si="2"/>
        <v>1</v>
      </c>
      <c r="G27" s="11">
        <f t="shared" si="3"/>
        <v>619.60062518644315</v>
      </c>
      <c r="H27" s="11">
        <f t="shared" si="4"/>
        <v>963.18411477709344</v>
      </c>
      <c r="I27" s="11">
        <f>IF(Direktvermarktung="nein",0,StromerlösDirektvermarktung*C27*(1-(Direktnutzung+BatteriespeicherJN*Direktnutzung_Batteriespeicher))*(1+Parameter!B$66)^A27)</f>
        <v>0</v>
      </c>
      <c r="J27" s="11">
        <f t="shared" si="5"/>
        <v>0</v>
      </c>
      <c r="K27" s="11">
        <f t="shared" si="6"/>
        <v>0</v>
      </c>
      <c r="L27" s="11">
        <f t="shared" si="16"/>
        <v>-269.37100131001046</v>
      </c>
      <c r="M27" s="11">
        <f t="shared" si="17"/>
        <v>0</v>
      </c>
      <c r="N27" s="11">
        <f t="shared" si="18"/>
        <v>0</v>
      </c>
      <c r="O27" s="11">
        <f t="shared" si="7"/>
        <v>0</v>
      </c>
      <c r="P27" s="16">
        <f t="shared" si="30"/>
        <v>0</v>
      </c>
      <c r="Q27" s="11">
        <f t="shared" si="19"/>
        <v>0</v>
      </c>
      <c r="R27" s="11">
        <f t="shared" si="20"/>
        <v>0</v>
      </c>
      <c r="S27" s="11">
        <f>Q27-R27</f>
        <v>0</v>
      </c>
      <c r="T27" s="16">
        <f t="shared" si="22"/>
        <v>0</v>
      </c>
      <c r="U27" s="16"/>
      <c r="V27" s="11">
        <f t="shared" si="23"/>
        <v>1313.4137386535263</v>
      </c>
      <c r="W27" s="11"/>
      <c r="X27" s="10">
        <f t="shared" si="27"/>
        <v>-671.13046874999998</v>
      </c>
      <c r="Y27" s="15">
        <f t="shared" si="28"/>
        <v>671.13046875000248</v>
      </c>
      <c r="Z27" s="11">
        <f t="shared" si="24"/>
        <v>642.28326990352627</v>
      </c>
      <c r="AA27" s="11">
        <f t="shared" si="31"/>
        <v>0</v>
      </c>
      <c r="AB27" s="11">
        <f t="shared" si="10"/>
        <v>1313.4137386535263</v>
      </c>
      <c r="AC27" s="11">
        <f t="shared" si="11"/>
        <v>749.02150257691551</v>
      </c>
      <c r="AD27" s="11">
        <f t="shared" si="26"/>
        <v>4396.9372449491912</v>
      </c>
      <c r="AE27" s="11">
        <f t="shared" si="12"/>
        <v>153.6185180754357</v>
      </c>
      <c r="AF27" s="10">
        <f t="shared" si="13"/>
        <v>5386.4265053012405</v>
      </c>
      <c r="AG27" s="193">
        <f t="shared" si="29"/>
        <v>0</v>
      </c>
    </row>
    <row r="28" spans="1:33" s="117" customFormat="1" x14ac:dyDescent="0.2">
      <c r="A28" s="121">
        <v>20</v>
      </c>
      <c r="B28" s="122">
        <f t="shared" si="25"/>
        <v>2043</v>
      </c>
      <c r="C28" s="121">
        <f>Stromertrag*kWp*(1-Ertragsminderung)^A28</f>
        <v>9416.7960870561546</v>
      </c>
      <c r="D28" s="198">
        <f t="shared" si="1"/>
        <v>0.2</v>
      </c>
      <c r="E28" s="121">
        <f t="shared" si="15"/>
        <v>1883.3592174112309</v>
      </c>
      <c r="F28" s="121">
        <f t="shared" si="2"/>
        <v>1</v>
      </c>
      <c r="G28" s="121">
        <f t="shared" si="3"/>
        <v>617.74182331088377</v>
      </c>
      <c r="H28" s="121">
        <f t="shared" si="4"/>
        <v>979.50045368141741</v>
      </c>
      <c r="I28" s="121">
        <f>IF(Direktvermarktung="nein",0,StromerlösDirektvermarktung*C28*(1-(Direktnutzung+BatteriespeicherJN*Direktnutzung_Batteriespeicher))*(1+Parameter!B$66)^A28)</f>
        <v>0</v>
      </c>
      <c r="J28" s="121">
        <f t="shared" si="5"/>
        <v>0</v>
      </c>
      <c r="K28" s="121">
        <f t="shared" si="6"/>
        <v>0</v>
      </c>
      <c r="L28" s="121">
        <f t="shared" si="16"/>
        <v>-200</v>
      </c>
      <c r="M28" s="121">
        <f t="shared" si="17"/>
        <v>0</v>
      </c>
      <c r="N28" s="121">
        <f t="shared" si="18"/>
        <v>0</v>
      </c>
      <c r="O28" s="121">
        <f t="shared" si="7"/>
        <v>0</v>
      </c>
      <c r="P28" s="123">
        <f>P27+O28</f>
        <v>0</v>
      </c>
      <c r="Q28" s="121">
        <f t="shared" si="19"/>
        <v>0</v>
      </c>
      <c r="R28" s="121">
        <f t="shared" si="20"/>
        <v>0</v>
      </c>
      <c r="S28" s="121">
        <f>Q28-R28</f>
        <v>0</v>
      </c>
      <c r="T28" s="123">
        <f t="shared" si="22"/>
        <v>0</v>
      </c>
      <c r="U28" s="123"/>
      <c r="V28" s="121">
        <f t="shared" si="23"/>
        <v>1397.2422769923012</v>
      </c>
      <c r="W28" s="121"/>
      <c r="X28" s="121">
        <f t="shared" si="27"/>
        <v>-671.13046874999998</v>
      </c>
      <c r="Y28" s="120">
        <f>Y27+X28</f>
        <v>2.5011104298755527E-12</v>
      </c>
      <c r="Z28" s="121">
        <f t="shared" si="24"/>
        <v>726.11180824230121</v>
      </c>
      <c r="AA28" s="121">
        <f t="shared" si="31"/>
        <v>0</v>
      </c>
      <c r="AB28" s="121">
        <f t="shared" si="10"/>
        <v>1397.2422769923012</v>
      </c>
      <c r="AC28" s="121">
        <f t="shared" si="11"/>
        <v>773.61917149474425</v>
      </c>
      <c r="AD28" s="121">
        <f>AD27+AC28</f>
        <v>5170.5564164439356</v>
      </c>
      <c r="AE28" s="121">
        <f t="shared" si="12"/>
        <v>110.735150837267</v>
      </c>
      <c r="AF28" s="124">
        <f t="shared" si="13"/>
        <v>5213.8516755197443</v>
      </c>
      <c r="AG28" s="121">
        <f t="shared" si="29"/>
        <v>0</v>
      </c>
    </row>
    <row r="29" spans="1:33" s="114" customFormat="1" x14ac:dyDescent="0.2">
      <c r="A29" s="103"/>
      <c r="B29" s="103"/>
      <c r="C29" s="8">
        <f>SUM(C8:C28)</f>
        <v>203718.10040167178</v>
      </c>
      <c r="D29" s="8"/>
      <c r="E29" s="8">
        <f>SUM(E8:E28)</f>
        <v>40743.620080334353</v>
      </c>
      <c r="F29" s="8"/>
      <c r="G29" s="8">
        <f t="shared" ref="G29:O29" si="32">SUM(G8:G28)</f>
        <v>13363.907386349669</v>
      </c>
      <c r="H29" s="8">
        <f t="shared" si="32"/>
        <v>17471.936916574999</v>
      </c>
      <c r="I29" s="8">
        <f t="shared" si="32"/>
        <v>0</v>
      </c>
      <c r="J29" s="8">
        <f t="shared" si="32"/>
        <v>0</v>
      </c>
      <c r="K29" s="8">
        <f t="shared" si="32"/>
        <v>0</v>
      </c>
      <c r="L29" s="8">
        <f t="shared" si="32"/>
        <v>-5174.1044219774176</v>
      </c>
      <c r="M29" s="8">
        <f t="shared" si="32"/>
        <v>0</v>
      </c>
      <c r="N29" s="8">
        <f t="shared" si="32"/>
        <v>0</v>
      </c>
      <c r="O29" s="8">
        <f t="shared" si="32"/>
        <v>0</v>
      </c>
      <c r="P29" s="104"/>
      <c r="Q29" s="8">
        <f>SUM(Q8:Q28)</f>
        <v>0</v>
      </c>
      <c r="R29" s="8">
        <f>SUM(R8:R28)</f>
        <v>0</v>
      </c>
      <c r="S29" s="8">
        <f>SUM(S8:S28)</f>
        <v>0</v>
      </c>
      <c r="T29" s="104"/>
      <c r="U29" s="104"/>
      <c r="V29" s="8">
        <f>SUM(V8:V28)</f>
        <v>11661.739880947254</v>
      </c>
      <c r="W29" s="8">
        <f>SUM(W8:W12)</f>
        <v>0</v>
      </c>
      <c r="X29" s="8">
        <f>SUM(X8:X28)</f>
        <v>-13999.999999999995</v>
      </c>
      <c r="Y29" s="104"/>
      <c r="Z29" s="8">
        <f>SUM(Z7:Z28)</f>
        <v>11661.739880947254</v>
      </c>
      <c r="AA29" s="11">
        <f>SUM(AA7:AA28)</f>
        <v>0</v>
      </c>
      <c r="AB29" s="8">
        <f>SUM(AB7:AB28)</f>
        <v>11661.739880947254</v>
      </c>
      <c r="AC29" s="185">
        <f>SUM(AC7:AC28)</f>
        <v>5170.5564164439356</v>
      </c>
      <c r="AD29" s="103"/>
      <c r="AE29" s="105">
        <f>SUM(AE8:AE28)</f>
        <v>3935.2154277327531</v>
      </c>
      <c r="AF29" s="105">
        <f>SUM(AF8:AF28)</f>
        <v>154499.69331838842</v>
      </c>
      <c r="AG29" s="190">
        <f>SUM(AG8:AG28)</f>
        <v>14</v>
      </c>
    </row>
    <row r="30" spans="1:33" x14ac:dyDescent="0.2">
      <c r="A30" s="126"/>
      <c r="B30" s="126"/>
      <c r="C30" s="126"/>
      <c r="D30" s="126"/>
      <c r="E30" s="126"/>
      <c r="F30" s="127"/>
      <c r="G30" s="127"/>
      <c r="H30" s="127"/>
      <c r="I30" s="127"/>
      <c r="J30" s="127"/>
      <c r="K30" s="127"/>
      <c r="L30" s="127"/>
      <c r="M30" s="127"/>
      <c r="N30" s="127"/>
      <c r="O30" s="11"/>
      <c r="P30" s="128"/>
      <c r="Q30" s="129"/>
      <c r="R30" s="130"/>
      <c r="S30" s="130"/>
      <c r="T30" s="128"/>
      <c r="U30" s="128"/>
      <c r="V30" s="131"/>
      <c r="W30" s="129"/>
      <c r="X30" s="129"/>
      <c r="Y30" s="128"/>
      <c r="Z30" s="129"/>
      <c r="AA30" s="128"/>
      <c r="AB30" s="184">
        <f>IRR(AB7:AB28,0)</f>
        <v>6.7894743108499744E-2</v>
      </c>
      <c r="AC30" s="129"/>
      <c r="AD30" s="12"/>
      <c r="AE30" s="132"/>
      <c r="AF30" s="133"/>
    </row>
    <row r="31" spans="1:33" x14ac:dyDescent="0.2">
      <c r="A31" s="134"/>
      <c r="B31" s="134"/>
      <c r="C31" s="134"/>
      <c r="D31" s="134"/>
      <c r="E31" s="134"/>
      <c r="F31" s="135"/>
      <c r="G31" s="135"/>
      <c r="H31" s="135"/>
      <c r="I31" s="135"/>
      <c r="J31" s="135"/>
      <c r="K31" s="135"/>
      <c r="L31" s="135"/>
      <c r="M31" s="135"/>
      <c r="N31" s="135"/>
      <c r="O31" s="121"/>
      <c r="P31" s="136"/>
      <c r="Q31" s="135"/>
      <c r="R31" s="137"/>
      <c r="S31" s="137"/>
      <c r="T31" s="136"/>
      <c r="U31" s="136"/>
      <c r="V31" s="138"/>
      <c r="W31" s="135"/>
      <c r="X31" s="135"/>
      <c r="Y31" s="136"/>
      <c r="Z31" s="135"/>
      <c r="AA31" s="135"/>
      <c r="AB31" s="138">
        <f>MIRR(AB7:AB28,AB30,ZinssatzWiederanlage)</f>
        <v>3.3940504299303287E-2</v>
      </c>
      <c r="AC31" s="135"/>
      <c r="AD31" s="134"/>
      <c r="AE31" s="149" t="s">
        <v>99</v>
      </c>
      <c r="AF31" s="183">
        <f>(Anlagenpreis+BatteriespeicherJN*ZuschussBatterie+AE29)/AF29</f>
        <v>0.11608576717865964</v>
      </c>
      <c r="AG31" s="183"/>
    </row>
    <row r="32" spans="1:33" s="115" customFormat="1" x14ac:dyDescent="0.2">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224"/>
      <c r="AB32" s="127"/>
      <c r="AC32" s="127"/>
      <c r="AD32" s="127"/>
      <c r="AE32" s="148"/>
      <c r="AF32" s="132"/>
      <c r="AG32" s="192"/>
    </row>
    <row r="33" spans="6:31" x14ac:dyDescent="0.2">
      <c r="F33" s="139"/>
      <c r="J33" s="139"/>
      <c r="K33" s="139"/>
      <c r="L33" s="139"/>
    </row>
    <row r="34" spans="6:31" x14ac:dyDescent="0.2">
      <c r="F34" s="139"/>
      <c r="J34" s="139"/>
      <c r="K34" s="139"/>
      <c r="L34" s="139"/>
      <c r="AD34" s="144"/>
      <c r="AE34" s="140"/>
    </row>
    <row r="35" spans="6:31" x14ac:dyDescent="0.2">
      <c r="AD35" s="145"/>
      <c r="AE35" s="139"/>
    </row>
  </sheetData>
  <sheetProtection sheet="1" objects="1" scenarios="1"/>
  <customSheetViews>
    <customSheetView guid="{36051EDE-EE05-46A8-9481-5CD2E0A132E3}" showRuler="0">
      <selection activeCell="L4" sqref="L4"/>
      <pageMargins left="0.39370078740157483" right="0.39370078740157483" top="0.98425196850393704" bottom="0.98425196850393704" header="0.51181102362204722" footer="0.51181102362204722"/>
      <printOptions horizontalCentered="1" gridLines="1"/>
      <pageSetup paperSize="9" orientation="landscape"/>
      <headerFooter alignWithMargins="0">
        <oddHeader>&amp;F</oddHeader>
        <oddFooter>&amp;A</oddFooter>
      </headerFooter>
    </customSheetView>
  </customSheetViews>
  <phoneticPr fontId="0" type="noConversion"/>
  <printOptions horizontalCentered="1" gridLines="1"/>
  <pageMargins left="0.39370078740157483" right="0.39370078740157483" top="0.98425196850393704" bottom="0.98425196850393704" header="0.51181102362204722" footer="0.51181102362204722"/>
  <pageSetup paperSize="9" orientation="landscape" r:id="rId1"/>
  <headerFooter alignWithMargins="0">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E14"/>
  <sheetViews>
    <sheetView workbookViewId="0">
      <selection activeCell="C2" sqref="C2:D13"/>
    </sheetView>
  </sheetViews>
  <sheetFormatPr baseColWidth="10" defaultColWidth="9.140625" defaultRowHeight="12.75" x14ac:dyDescent="0.2"/>
  <sheetData>
    <row r="1" spans="1:5" x14ac:dyDescent="0.2">
      <c r="C1" t="s">
        <v>197</v>
      </c>
      <c r="D1" t="s">
        <v>196</v>
      </c>
    </row>
    <row r="2" spans="1:5" x14ac:dyDescent="0.2">
      <c r="A2" s="12" t="s">
        <v>45</v>
      </c>
      <c r="B2" s="13">
        <v>0.02</v>
      </c>
      <c r="C2" s="12">
        <v>1</v>
      </c>
      <c r="D2" s="43">
        <f>(E2+E3)/2</f>
        <v>0.99</v>
      </c>
      <c r="E2" s="13">
        <f>SUM(B2:B$13)</f>
        <v>1</v>
      </c>
    </row>
    <row r="3" spans="1:5" x14ac:dyDescent="0.2">
      <c r="A3" s="12" t="s">
        <v>46</v>
      </c>
      <c r="B3" s="13">
        <v>3.9E-2</v>
      </c>
      <c r="C3" s="12">
        <v>2</v>
      </c>
      <c r="D3" s="43">
        <f t="shared" ref="D3:D13" si="0">(E3+E4)/2</f>
        <v>0.96050000000000013</v>
      </c>
      <c r="E3" s="13">
        <f>SUM(B3:B$13)</f>
        <v>0.98000000000000009</v>
      </c>
    </row>
    <row r="4" spans="1:5" x14ac:dyDescent="0.2">
      <c r="A4" s="12" t="s">
        <v>47</v>
      </c>
      <c r="B4" s="13">
        <v>7.0000000000000007E-2</v>
      </c>
      <c r="C4" s="12">
        <v>3</v>
      </c>
      <c r="D4" s="43">
        <f t="shared" si="0"/>
        <v>0.90600000000000014</v>
      </c>
      <c r="E4" s="13">
        <f>SUM(B4:B$13)</f>
        <v>0.94100000000000006</v>
      </c>
    </row>
    <row r="5" spans="1:5" x14ac:dyDescent="0.2">
      <c r="A5" s="12" t="s">
        <v>48</v>
      </c>
      <c r="B5" s="13">
        <v>0.111</v>
      </c>
      <c r="C5" s="12">
        <v>4</v>
      </c>
      <c r="D5" s="43">
        <f t="shared" si="0"/>
        <v>0.81550000000000011</v>
      </c>
      <c r="E5" s="13">
        <f>SUM(B5:B$13)</f>
        <v>0.87100000000000011</v>
      </c>
    </row>
    <row r="6" spans="1:5" x14ac:dyDescent="0.2">
      <c r="A6" s="12" t="s">
        <v>49</v>
      </c>
      <c r="B6" s="13">
        <v>0.14599999999999999</v>
      </c>
      <c r="C6" s="12">
        <v>5</v>
      </c>
      <c r="D6" s="43">
        <f t="shared" si="0"/>
        <v>0.68700000000000006</v>
      </c>
      <c r="E6" s="13">
        <f>SUM(B6:B$13)</f>
        <v>0.76</v>
      </c>
    </row>
    <row r="7" spans="1:5" x14ac:dyDescent="0.2">
      <c r="A7" s="12" t="s">
        <v>50</v>
      </c>
      <c r="B7" s="13">
        <v>0.153</v>
      </c>
      <c r="C7" s="12">
        <v>6</v>
      </c>
      <c r="D7" s="43">
        <f t="shared" si="0"/>
        <v>0.53750000000000009</v>
      </c>
      <c r="E7" s="13">
        <f>SUM(B7:B$13)</f>
        <v>0.6140000000000001</v>
      </c>
    </row>
    <row r="8" spans="1:5" x14ac:dyDescent="0.2">
      <c r="A8" s="12" t="s">
        <v>51</v>
      </c>
      <c r="B8" s="13">
        <v>0.154</v>
      </c>
      <c r="C8" s="12">
        <v>7</v>
      </c>
      <c r="D8" s="43">
        <f t="shared" si="0"/>
        <v>0.38400000000000006</v>
      </c>
      <c r="E8" s="13">
        <f>SUM(B8:B$13)</f>
        <v>0.46100000000000008</v>
      </c>
    </row>
    <row r="9" spans="1:5" x14ac:dyDescent="0.2">
      <c r="A9" s="12" t="s">
        <v>52</v>
      </c>
      <c r="B9" s="13">
        <v>0.13400000000000001</v>
      </c>
      <c r="C9" s="12">
        <v>8</v>
      </c>
      <c r="D9" s="43">
        <f t="shared" si="0"/>
        <v>0.24000000000000002</v>
      </c>
      <c r="E9" s="13">
        <f>SUM(B9:B$13)</f>
        <v>0.30700000000000005</v>
      </c>
    </row>
    <row r="10" spans="1:5" x14ac:dyDescent="0.2">
      <c r="A10" s="12" t="s">
        <v>53</v>
      </c>
      <c r="B10" s="13">
        <v>8.5000000000000006E-2</v>
      </c>
      <c r="C10" s="12">
        <v>9</v>
      </c>
      <c r="D10" s="43">
        <f t="shared" si="0"/>
        <v>0.1305</v>
      </c>
      <c r="E10" s="13">
        <f>SUM(B10:B$13)</f>
        <v>0.17299999999999999</v>
      </c>
    </row>
    <row r="11" spans="1:5" x14ac:dyDescent="0.2">
      <c r="A11" s="12" t="s">
        <v>54</v>
      </c>
      <c r="B11" s="13">
        <v>4.9000000000000002E-2</v>
      </c>
      <c r="C11" s="12">
        <v>10</v>
      </c>
      <c r="D11" s="43">
        <f t="shared" si="0"/>
        <v>6.3500000000000001E-2</v>
      </c>
      <c r="E11" s="13">
        <f>SUM(B11:B$13)</f>
        <v>8.8000000000000009E-2</v>
      </c>
    </row>
    <row r="12" spans="1:5" x14ac:dyDescent="0.2">
      <c r="A12" s="12" t="s">
        <v>55</v>
      </c>
      <c r="B12" s="13">
        <v>2.3E-2</v>
      </c>
      <c r="C12" s="12">
        <v>11</v>
      </c>
      <c r="D12" s="43">
        <f t="shared" si="0"/>
        <v>2.75E-2</v>
      </c>
      <c r="E12" s="13">
        <f>SUM(B12:B$13)</f>
        <v>3.9E-2</v>
      </c>
    </row>
    <row r="13" spans="1:5" x14ac:dyDescent="0.2">
      <c r="A13" s="12" t="s">
        <v>56</v>
      </c>
      <c r="B13" s="14">
        <v>1.6E-2</v>
      </c>
      <c r="C13" s="12">
        <v>12</v>
      </c>
      <c r="D13" s="43">
        <f t="shared" si="0"/>
        <v>8.0000000000000002E-3</v>
      </c>
      <c r="E13" s="13">
        <f>B13</f>
        <v>1.6E-2</v>
      </c>
    </row>
    <row r="14" spans="1:5" x14ac:dyDescent="0.2">
      <c r="A14" s="12"/>
      <c r="B14" s="13">
        <f>SUM(B2:B13)</f>
        <v>1</v>
      </c>
      <c r="C14" s="12"/>
      <c r="E14" s="13">
        <v>0</v>
      </c>
    </row>
  </sheetData>
  <sheetProtection sheet="1" objects="1" scenarios="1"/>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AH27"/>
  <sheetViews>
    <sheetView zoomScaleNormal="100" workbookViewId="0">
      <selection activeCell="B3" sqref="B3"/>
    </sheetView>
  </sheetViews>
  <sheetFormatPr baseColWidth="10" defaultColWidth="9.140625" defaultRowHeight="12.75" x14ac:dyDescent="0.2"/>
  <sheetData>
    <row r="1" spans="1:34" x14ac:dyDescent="0.2">
      <c r="A1" t="s">
        <v>116</v>
      </c>
      <c r="Y1" t="s">
        <v>115</v>
      </c>
    </row>
    <row r="3" spans="1:34" x14ac:dyDescent="0.2">
      <c r="A3" s="99">
        <v>2013</v>
      </c>
      <c r="B3" s="100">
        <f>VLOOKUP(IBNMonat,Vergütung!A16:B27,2,TRUE)</f>
        <v>0.17019999999999999</v>
      </c>
      <c r="C3" s="99"/>
      <c r="D3" s="99"/>
      <c r="E3" s="99"/>
      <c r="F3" s="99"/>
      <c r="G3" s="99"/>
      <c r="H3" s="99"/>
      <c r="Y3">
        <v>2016</v>
      </c>
      <c r="AA3">
        <v>2017</v>
      </c>
      <c r="AC3" s="99">
        <v>2018</v>
      </c>
      <c r="AD3" s="99"/>
      <c r="AE3" s="99"/>
      <c r="AF3" s="99"/>
    </row>
    <row r="4" spans="1:34" x14ac:dyDescent="0.2">
      <c r="A4" s="99">
        <v>2014</v>
      </c>
      <c r="B4" s="100">
        <f>VLOOKUP(IBNMonat,Vergütung!C16:D27,2,TRUE)</f>
        <v>0.1368</v>
      </c>
      <c r="Y4" s="100">
        <f>VLOOKUP(IBNMonat,Vergütung!Y16:Z27,2,TRUE)</f>
        <v>0</v>
      </c>
      <c r="AA4" s="100">
        <f>VLOOKUP(IBNMonat,Vergütung!AA16:AB27,2,TRUE)</f>
        <v>0.19</v>
      </c>
      <c r="AC4" s="40">
        <f>VLOOKUP(IBNMonat,Vergütung!AC16:AD27,2,TRUE)</f>
        <v>0.1</v>
      </c>
      <c r="AD4" s="100"/>
      <c r="AE4" s="100"/>
      <c r="AF4" s="40"/>
    </row>
    <row r="5" spans="1:34" x14ac:dyDescent="0.2">
      <c r="A5" s="99">
        <v>2015</v>
      </c>
      <c r="B5" s="100">
        <f>VLOOKUP(IBNMonat,Vergütung!E16:F27,2,TRUE)</f>
        <v>0.12559999999999999</v>
      </c>
      <c r="C5" s="100"/>
      <c r="D5" s="100"/>
      <c r="E5" s="100"/>
      <c r="F5" s="100"/>
      <c r="G5" s="100"/>
      <c r="H5" s="40"/>
      <c r="Y5" s="40"/>
      <c r="Z5" s="40"/>
      <c r="AA5" s="100"/>
      <c r="AB5" s="100"/>
      <c r="AC5" s="100"/>
      <c r="AD5" s="100"/>
      <c r="AE5" s="100"/>
      <c r="AF5" s="40"/>
    </row>
    <row r="6" spans="1:34" x14ac:dyDescent="0.2">
      <c r="A6" s="99">
        <v>2016</v>
      </c>
      <c r="B6" s="100">
        <f>VLOOKUP(IBNMonat,Vergütung!G16:H27,2,TRUE)</f>
        <v>0.1231</v>
      </c>
    </row>
    <row r="7" spans="1:34" x14ac:dyDescent="0.2">
      <c r="A7" s="99">
        <v>2017</v>
      </c>
      <c r="B7" s="40">
        <f>VLOOKUP(IBNMonat,Vergütung!I16:J27,2,TRUE)</f>
        <v>0.123</v>
      </c>
    </row>
    <row r="8" spans="1:34" x14ac:dyDescent="0.2">
      <c r="A8" s="99">
        <v>2018</v>
      </c>
      <c r="B8" s="40">
        <f>VLOOKUP(IBNMonat,Vergütung!K16:L27,2,TRUE)</f>
        <v>0.122</v>
      </c>
    </row>
    <row r="9" spans="1:34" x14ac:dyDescent="0.2">
      <c r="A9" s="99">
        <v>2019</v>
      </c>
      <c r="B9" s="40">
        <f>VLOOKUP(IBNMonat,Vergütung!M16:N27,2,TRUE)</f>
        <v>0.1147</v>
      </c>
    </row>
    <row r="10" spans="1:34" x14ac:dyDescent="0.2">
      <c r="A10" s="99">
        <v>2020</v>
      </c>
      <c r="B10" s="40">
        <f>VLOOKUP(IBNMonat,Vergütung!O16:P27,2,TRUE)</f>
        <v>9.8699999999999996E-2</v>
      </c>
    </row>
    <row r="11" spans="1:34" x14ac:dyDescent="0.2">
      <c r="A11" s="99">
        <v>2021</v>
      </c>
      <c r="B11" s="40">
        <f>VLOOKUP(IBNMonat,Vergütung!Q16:R27,2,TRUE)</f>
        <v>8.1600000000000006E-2</v>
      </c>
    </row>
    <row r="12" spans="1:34" x14ac:dyDescent="0.2">
      <c r="A12" s="99">
        <v>2022</v>
      </c>
      <c r="B12" s="40">
        <f>VLOOKUP(IBNMonat,Vergütung!S16:T27,2,TRUE)</f>
        <v>6.8640761268637746E-2</v>
      </c>
    </row>
    <row r="13" spans="1:34" x14ac:dyDescent="0.2">
      <c r="A13" s="99">
        <v>2023</v>
      </c>
      <c r="B13" s="40">
        <f>VLOOKUP(IBNMonat,Vergütung!U16:V27,2,TRUE)</f>
        <v>8.2000000000000003E-2</v>
      </c>
    </row>
    <row r="15" spans="1:34" x14ac:dyDescent="0.2">
      <c r="A15">
        <v>2013</v>
      </c>
      <c r="C15">
        <v>2014</v>
      </c>
      <c r="E15">
        <v>2015</v>
      </c>
      <c r="G15">
        <v>2016</v>
      </c>
      <c r="I15">
        <v>2017</v>
      </c>
      <c r="K15">
        <v>2018</v>
      </c>
      <c r="M15">
        <v>2019</v>
      </c>
      <c r="O15">
        <v>2020</v>
      </c>
      <c r="Q15">
        <v>2021</v>
      </c>
      <c r="S15">
        <v>2022</v>
      </c>
      <c r="U15">
        <v>2023</v>
      </c>
      <c r="X15" s="214" t="s">
        <v>180</v>
      </c>
      <c r="Y15">
        <v>2016</v>
      </c>
      <c r="AA15">
        <v>2017</v>
      </c>
      <c r="AC15">
        <v>2018</v>
      </c>
    </row>
    <row r="16" spans="1:34" x14ac:dyDescent="0.2">
      <c r="A16">
        <v>1</v>
      </c>
      <c r="B16" s="40">
        <f>IF(kWp&lt;=10,0.1702,IF(kWp&lt;=40,(10*0.1702+(kWp-10)*0.1614)/kWp,IF(kWp&lt;=1000,(10*0.1702+30*0.1614+(kWp-40)*0.144)/kWp,IF(kWp&lt;=10000,(10*0.1702+30*0.1614+960*0.144+(kWp-1000)*0.1178)/kWp,0))))</f>
        <v>0.17019999999999999</v>
      </c>
      <c r="C16">
        <v>1</v>
      </c>
      <c r="D16" s="42">
        <f>IF(kWp&lt;=10,0.1368,IF(kWp&lt;=40,(10*0.1368+(kWp-10)*0.1298)/kWp,IF(kWp&lt;=1000,(10*0.1368+30*0.1298+(kWp-40)*0.1158)/kWp,IF(kWp&lt;=10000,(10*0.1386+30*0.1298+960*0.1158+(kWp-1000)*0.0947)/kWp,0))))</f>
        <v>0.1368</v>
      </c>
      <c r="E16">
        <v>1</v>
      </c>
      <c r="F16" s="41">
        <f>IF(kWp&lt;=10,0.1256,IF(kWp&lt;=40,(10*0.1256+(kWp-10)*0.1222)/kWp,IF(kWp&lt;=500,(10*0.1256+30*0.1222+(kWp-40)*0.1092)/kWp,0)))</f>
        <v>0.12559999999999999</v>
      </c>
      <c r="G16">
        <v>1</v>
      </c>
      <c r="H16" s="41">
        <f>IF(kWp&lt;=10,0.1231,IF(kWp&lt;=40,(10*0.1231+(kWp-10)*0.1197)/kWp,IF(kWp&lt;=500,(10*0.1231+30*0.1197+(kWp-40)*0.1071)/kWp,0)))</f>
        <v>0.1231</v>
      </c>
      <c r="I16">
        <v>1</v>
      </c>
      <c r="J16" s="41">
        <f>IF(kWp&lt;=10,0.123,IF(kWp&lt;=40,(10*0.123+(kWp-10)*0.1196)/kWp,IF(kWp&lt;=100,(10*0.123+30*0.1196+(kWp-40)*0.1069)/kWp,0)))</f>
        <v>0.123</v>
      </c>
      <c r="K16">
        <v>1</v>
      </c>
      <c r="L16" s="186">
        <f>IF(kWp&lt;=10,0.122,IF(kWp&lt;=40,(10*0.122+(kWp-10)*0.1187)/kWp,IF(kWp&lt;=100,(10*0.122+30*0.1187+(kWp-40)*0.1061)/kWp,0)))</f>
        <v>0.122</v>
      </c>
      <c r="M16">
        <v>1</v>
      </c>
      <c r="N16" s="186">
        <f>IF(kWp&lt;=10,0.1147,IF(kWp&lt;=40,(10*0.1147+(kWp-10)*0.1115)/kWp,IF(kWp&lt;=100,(10*0.1147+30*0.1115+(kWp-40)*0.1036)/kWp,0)))</f>
        <v>0.1147</v>
      </c>
      <c r="O16">
        <v>1</v>
      </c>
      <c r="P16" s="40">
        <f>IF(kWp&lt;=10,0.0987,IF(kWp&lt;=40,(10*0.0987+(kWp-10)*0.0959)/kWp,IF(kWp&lt;=100,(10*0.0987+30*0.0959+(kWp-40)*0.0754)/kWp,0)))</f>
        <v>9.8699999999999996E-2</v>
      </c>
      <c r="Q16">
        <v>1</v>
      </c>
      <c r="R16" s="40">
        <f>IF(kWp&lt;=10,0.0816,IF(kWp&lt;=40,(10*0.0816+(kWp-10)*0.0793)/kWp,IF(kWp&lt;=100,(10*0.0816+30*0.0793+(kWp-40)*0.0622)/kWp,0)))</f>
        <v>8.1600000000000006E-2</v>
      </c>
      <c r="S16">
        <v>1</v>
      </c>
      <c r="T16" s="40">
        <f>R27*0.986</f>
        <v>6.8640761268637746E-2</v>
      </c>
      <c r="U16">
        <v>1</v>
      </c>
      <c r="V16" s="40">
        <f>T27</f>
        <v>8.2000000000000003E-2</v>
      </c>
      <c r="W16" s="40"/>
      <c r="X16" s="214"/>
      <c r="Y16">
        <v>1</v>
      </c>
      <c r="Z16" s="188">
        <v>0</v>
      </c>
      <c r="AA16">
        <v>1</v>
      </c>
      <c r="AB16" s="188">
        <v>0.19</v>
      </c>
      <c r="AC16">
        <v>1</v>
      </c>
      <c r="AD16" s="188">
        <v>0.1</v>
      </c>
      <c r="AF16" s="41"/>
      <c r="AH16" s="41"/>
    </row>
    <row r="17" spans="1:34" x14ac:dyDescent="0.2">
      <c r="A17">
        <f>A16+1</f>
        <v>2</v>
      </c>
      <c r="B17" s="186">
        <f>B16*0.978</f>
        <v>0.16645559999999998</v>
      </c>
      <c r="C17">
        <f t="shared" ref="C17:C27" si="0">C16+1</f>
        <v>2</v>
      </c>
      <c r="D17" s="40">
        <f t="shared" ref="D17:D22" si="1">D16*0.99</f>
        <v>0.135432</v>
      </c>
      <c r="E17">
        <f t="shared" ref="E17:E27" si="2">E16+1</f>
        <v>2</v>
      </c>
      <c r="F17" s="41">
        <f>F16*0.9975</f>
        <v>0.12528600000000001</v>
      </c>
      <c r="G17">
        <f t="shared" ref="G17:I27" si="3">G16+1</f>
        <v>2</v>
      </c>
      <c r="H17" s="41">
        <f t="shared" ref="H17:H27" si="4">H16</f>
        <v>0.1231</v>
      </c>
      <c r="I17">
        <f t="shared" si="3"/>
        <v>2</v>
      </c>
      <c r="J17" s="41">
        <f>J16</f>
        <v>0.123</v>
      </c>
      <c r="K17">
        <f t="shared" ref="K17:M27" si="5">K16+1</f>
        <v>2</v>
      </c>
      <c r="L17" s="41">
        <f t="shared" ref="L17:L22" si="6">L16</f>
        <v>0.122</v>
      </c>
      <c r="M17">
        <f t="shared" si="5"/>
        <v>2</v>
      </c>
      <c r="N17" s="186">
        <f>IF(kWp&lt;=10,0.1135,IF(kWp&lt;=40,(10*0.1135+(kWp-10)*0.1103)/kWp,IF(kWp&lt;=100,(10*0.1135*0.99+30*0.1103+(kWp-40)*0.0947)/kWp,0)))</f>
        <v>0.1135</v>
      </c>
      <c r="O17">
        <f t="shared" ref="O17:Q27" si="7">O16+1</f>
        <v>2</v>
      </c>
      <c r="P17" s="40">
        <f>IF(kWp&lt;=10,0.0972,IF(kWp&lt;=40,(10*0.0972+(kWp-10)*0.0945)/kWp,IF(kWp&lt;=100,(10*0.0972+30*0.0945+(kWp-40)*0.0742)/kWp,0)))</f>
        <v>9.7199999999999995E-2</v>
      </c>
      <c r="Q17">
        <f t="shared" si="7"/>
        <v>2</v>
      </c>
      <c r="R17" s="40">
        <f>IF(kWp&lt;=10,0.0804,IF(kWp&lt;=40,(10*0.0804+(kWp-10)*0.0781)/kWp,IF(kWp&lt;=100,(10*0.0804+30*0.0791+(kWp-40)*0.0613)/kWp,0)))</f>
        <v>8.0399999999999999E-2</v>
      </c>
      <c r="S17">
        <f t="shared" ref="S17:U27" si="8">S16+1</f>
        <v>2</v>
      </c>
      <c r="T17" s="40">
        <f>T16*0.986</f>
        <v>6.7679790610876811E-2</v>
      </c>
      <c r="U17">
        <f t="shared" si="8"/>
        <v>2</v>
      </c>
      <c r="V17" s="40">
        <f>V16</f>
        <v>8.2000000000000003E-2</v>
      </c>
      <c r="W17" s="40"/>
      <c r="X17" s="215">
        <f>R17/R16</f>
        <v>0.98529411764705876</v>
      </c>
      <c r="Y17">
        <f>Y16+1</f>
        <v>2</v>
      </c>
      <c r="Z17" s="188">
        <v>0</v>
      </c>
      <c r="AA17">
        <f t="shared" ref="AA17:AA27" si="9">AA16+1</f>
        <v>2</v>
      </c>
      <c r="AB17" s="188">
        <v>0.19</v>
      </c>
      <c r="AC17">
        <f t="shared" ref="AC17:AC27" si="10">AC16+1</f>
        <v>2</v>
      </c>
      <c r="AD17" s="188">
        <v>0.1</v>
      </c>
      <c r="AF17" s="41"/>
      <c r="AH17" s="41"/>
    </row>
    <row r="18" spans="1:34" x14ac:dyDescent="0.2">
      <c r="A18">
        <f t="shared" ref="A18:A27" si="11">A17+1</f>
        <v>3</v>
      </c>
      <c r="B18" s="186">
        <f>B17*0.978</f>
        <v>0.16279357679999998</v>
      </c>
      <c r="C18">
        <f t="shared" si="0"/>
        <v>3</v>
      </c>
      <c r="D18" s="40">
        <f t="shared" si="1"/>
        <v>0.13407768</v>
      </c>
      <c r="E18">
        <f t="shared" si="2"/>
        <v>3</v>
      </c>
      <c r="F18" s="41">
        <f>F17*0.9975</f>
        <v>0.12497278500000002</v>
      </c>
      <c r="G18">
        <f t="shared" si="3"/>
        <v>3</v>
      </c>
      <c r="H18" s="41">
        <f t="shared" si="4"/>
        <v>0.1231</v>
      </c>
      <c r="I18">
        <f t="shared" si="3"/>
        <v>3</v>
      </c>
      <c r="J18" s="41">
        <f>J17</f>
        <v>0.123</v>
      </c>
      <c r="K18">
        <f t="shared" si="5"/>
        <v>3</v>
      </c>
      <c r="L18" s="41">
        <f t="shared" si="6"/>
        <v>0.122</v>
      </c>
      <c r="M18">
        <f t="shared" si="5"/>
        <v>3</v>
      </c>
      <c r="N18" s="186">
        <f>IF(kWp&lt;=10,0.1123,IF(kWp&lt;=40,(10*0.1123+(kWp-10)*0.1092)/kWp,IF(kWp&lt;=100,(10*0.1123+30*0.1092+(kWp-40)*0.0899)/kWp,0)))</f>
        <v>0.1123</v>
      </c>
      <c r="O18">
        <f t="shared" si="7"/>
        <v>3</v>
      </c>
      <c r="P18" s="40">
        <f>IF(kWp&lt;=10,0.0958,IF(kWp&lt;=40,(10*0.0958+(kWp-10)*0.0931)/kWp,IF(kWp&lt;=100,(10*0.0985+30*0.0931+(kWp-40)*0.0731)/kWp,0)))</f>
        <v>9.5799999999999996E-2</v>
      </c>
      <c r="Q18">
        <f t="shared" si="7"/>
        <v>3</v>
      </c>
      <c r="R18" s="40">
        <f>IF(kWp&lt;=10,0.0792,IF(kWp&lt;=40,(10*0.0792+(kWp-10)*0.077)/kWp,IF(kWp&lt;=100,(10*0.0792+30*0.077+(kWp-40)*0.0604)/kWp,0)))</f>
        <v>7.9200000000000007E-2</v>
      </c>
      <c r="S18">
        <f t="shared" si="8"/>
        <v>3</v>
      </c>
      <c r="T18" s="40">
        <f t="shared" ref="T18:T22" si="12">T17*0.986</f>
        <v>6.6732273542324541E-2</v>
      </c>
      <c r="U18">
        <f t="shared" si="8"/>
        <v>3</v>
      </c>
      <c r="V18" s="40">
        <f t="shared" ref="V18:V27" si="13">V17</f>
        <v>8.2000000000000003E-2</v>
      </c>
      <c r="W18" s="40"/>
      <c r="X18" s="215">
        <f>R18/R17</f>
        <v>0.98507462686567171</v>
      </c>
      <c r="Y18">
        <f t="shared" ref="Y18:Y27" si="14">Y17+1</f>
        <v>3</v>
      </c>
      <c r="Z18" s="188">
        <v>0.25</v>
      </c>
      <c r="AA18">
        <f t="shared" si="9"/>
        <v>3</v>
      </c>
      <c r="AB18" s="188">
        <v>0.19</v>
      </c>
      <c r="AC18">
        <f t="shared" si="10"/>
        <v>3</v>
      </c>
      <c r="AD18" s="188">
        <v>0.1</v>
      </c>
      <c r="AF18" s="41"/>
      <c r="AH18" s="41"/>
    </row>
    <row r="19" spans="1:34" x14ac:dyDescent="0.2">
      <c r="A19">
        <f t="shared" si="11"/>
        <v>4</v>
      </c>
      <c r="B19" s="186">
        <f>B18*0.978</f>
        <v>0.15921211811039998</v>
      </c>
      <c r="C19">
        <f t="shared" si="0"/>
        <v>4</v>
      </c>
      <c r="D19" s="40">
        <f t="shared" si="1"/>
        <v>0.13273690320000001</v>
      </c>
      <c r="E19">
        <f t="shared" si="2"/>
        <v>4</v>
      </c>
      <c r="F19" s="41">
        <f t="shared" ref="F19:F24" si="15">F18*0.9975</f>
        <v>0.12466035303750002</v>
      </c>
      <c r="G19">
        <f t="shared" si="3"/>
        <v>4</v>
      </c>
      <c r="H19" s="41">
        <f t="shared" si="4"/>
        <v>0.1231</v>
      </c>
      <c r="I19">
        <f t="shared" si="3"/>
        <v>4</v>
      </c>
      <c r="J19" s="41">
        <f>J18</f>
        <v>0.123</v>
      </c>
      <c r="K19">
        <f t="shared" si="5"/>
        <v>4</v>
      </c>
      <c r="L19" s="41">
        <f t="shared" si="6"/>
        <v>0.122</v>
      </c>
      <c r="M19">
        <f t="shared" si="5"/>
        <v>4</v>
      </c>
      <c r="N19" s="186">
        <f>IF(kWp&lt;=10,0.1111,IF(kWp&lt;=40,(10*0.1111+(kWp-10)*0.1081)/kWp,IF(kWp&lt;=100,(10*0.1111+30*0.1081+(kWp-40)*0.085)/kWp,0)))</f>
        <v>0.1111</v>
      </c>
      <c r="O19">
        <f t="shared" si="7"/>
        <v>4</v>
      </c>
      <c r="P19" s="40">
        <f>IF(kWp&lt;=10,0.0944,IF(kWp&lt;=40,(10*0.0944+(kWp-10)*0.0918)/kWp,IF(kWp&lt;=100,(10*0.0944+30*0.0918+(kWp-40)*0.0721)/kWp,0)))</f>
        <v>9.4399999999999998E-2</v>
      </c>
      <c r="Q19">
        <f t="shared" si="7"/>
        <v>4</v>
      </c>
      <c r="R19" s="40">
        <f>IF(kWp&lt;=10,0.0781,IF(kWp&lt;=40,(10*0.0781+(kWp-10)*0.0759)/kWp,IF(kWp&lt;=100,(10*0.0781+30*0.0759+(kWp-40)*0.0595)/kWp,0)))</f>
        <v>7.8100000000000003E-2</v>
      </c>
      <c r="S19">
        <f t="shared" si="8"/>
        <v>4</v>
      </c>
      <c r="T19" s="40">
        <f t="shared" si="12"/>
        <v>6.5798021712731997E-2</v>
      </c>
      <c r="U19">
        <f t="shared" si="8"/>
        <v>4</v>
      </c>
      <c r="V19" s="40">
        <f t="shared" si="13"/>
        <v>8.2000000000000003E-2</v>
      </c>
      <c r="W19" s="40"/>
      <c r="X19" s="215">
        <f t="shared" ref="X19:X27" si="16">R19/R18</f>
        <v>0.98611111111111105</v>
      </c>
      <c r="Y19">
        <f t="shared" si="14"/>
        <v>4</v>
      </c>
      <c r="Z19" s="188">
        <v>0.25</v>
      </c>
      <c r="AA19">
        <f t="shared" si="9"/>
        <v>4</v>
      </c>
      <c r="AB19" s="188">
        <v>0.19</v>
      </c>
      <c r="AC19">
        <f t="shared" si="10"/>
        <v>4</v>
      </c>
      <c r="AD19" s="188">
        <v>0.1</v>
      </c>
      <c r="AF19" s="41"/>
      <c r="AH19" s="41"/>
    </row>
    <row r="20" spans="1:34" x14ac:dyDescent="0.2">
      <c r="A20">
        <f t="shared" si="11"/>
        <v>5</v>
      </c>
      <c r="B20" s="41">
        <f t="shared" ref="B20:B25" si="17">B19*0.982</f>
        <v>0.15634629998441277</v>
      </c>
      <c r="C20">
        <f t="shared" si="0"/>
        <v>5</v>
      </c>
      <c r="D20" s="40">
        <f t="shared" si="1"/>
        <v>0.131409534168</v>
      </c>
      <c r="E20">
        <f t="shared" si="2"/>
        <v>5</v>
      </c>
      <c r="F20" s="41">
        <f t="shared" si="15"/>
        <v>0.12434870215490627</v>
      </c>
      <c r="G20">
        <f t="shared" si="3"/>
        <v>5</v>
      </c>
      <c r="H20" s="41">
        <f t="shared" si="4"/>
        <v>0.1231</v>
      </c>
      <c r="I20">
        <f t="shared" si="3"/>
        <v>5</v>
      </c>
      <c r="J20" s="186">
        <f t="shared" ref="J20:J27" si="18">J19*0.9975</f>
        <v>0.12269250000000001</v>
      </c>
      <c r="K20">
        <f t="shared" si="5"/>
        <v>5</v>
      </c>
      <c r="L20" s="41">
        <f t="shared" si="6"/>
        <v>0.122</v>
      </c>
      <c r="M20">
        <f t="shared" si="5"/>
        <v>5</v>
      </c>
      <c r="N20" s="186">
        <f>IF(kWp&lt;=10,0.1095,IF(kWp&lt;=40,(10*0.1095+(kWp-10)*0.1065)/kWp,IF(kWp&lt;=100,(10*0.1095+30*0.1065+(kWp-40)*0.0838)/kWp,0)))</f>
        <v>0.1095</v>
      </c>
      <c r="O20">
        <f t="shared" si="7"/>
        <v>5</v>
      </c>
      <c r="P20" s="40">
        <f>IF(kWp&lt;=10,0.093,IF(kWp&lt;=40,(10*0.093+(kWp-10)*0.0904)/kWp,IF(kWp&lt;=100,(10*0.093+30*0.0904+(kWp-40)*0.071)/kWp,0)))</f>
        <v>9.2999999999999999E-2</v>
      </c>
      <c r="Q20">
        <f t="shared" si="7"/>
        <v>5</v>
      </c>
      <c r="R20" s="40">
        <f>IF(kWp&lt;=10,0.0769,IF(kWp&lt;=40,(10*0.0769+(kWp-10)*0.0747)/kWp,IF(kWp&lt;=100,(10*0.0769+30*0.0747+(kWp-40)*0.0586)/kWp,0)))</f>
        <v>7.6899999999999996E-2</v>
      </c>
      <c r="S20">
        <f t="shared" si="8"/>
        <v>5</v>
      </c>
      <c r="T20" s="40">
        <f t="shared" si="12"/>
        <v>6.4876849408753753E-2</v>
      </c>
      <c r="U20">
        <f t="shared" si="8"/>
        <v>5</v>
      </c>
      <c r="V20" s="40">
        <f t="shared" si="13"/>
        <v>8.2000000000000003E-2</v>
      </c>
      <c r="W20" s="40"/>
      <c r="X20" s="215">
        <f t="shared" si="16"/>
        <v>0.9846350832266324</v>
      </c>
      <c r="Y20">
        <f t="shared" si="14"/>
        <v>5</v>
      </c>
      <c r="Z20" s="188">
        <v>0.25</v>
      </c>
      <c r="AA20">
        <f t="shared" si="9"/>
        <v>5</v>
      </c>
      <c r="AB20" s="188">
        <v>0.19</v>
      </c>
      <c r="AC20">
        <f t="shared" si="10"/>
        <v>5</v>
      </c>
      <c r="AD20" s="188">
        <v>0.1</v>
      </c>
      <c r="AF20" s="41"/>
      <c r="AH20" s="186"/>
    </row>
    <row r="21" spans="1:34" x14ac:dyDescent="0.2">
      <c r="A21">
        <f t="shared" si="11"/>
        <v>6</v>
      </c>
      <c r="B21" s="41">
        <f t="shared" si="17"/>
        <v>0.15353206658469334</v>
      </c>
      <c r="C21">
        <f t="shared" si="0"/>
        <v>6</v>
      </c>
      <c r="D21" s="40">
        <f t="shared" si="1"/>
        <v>0.13009543882631999</v>
      </c>
      <c r="E21">
        <f t="shared" si="2"/>
        <v>6</v>
      </c>
      <c r="F21" s="41">
        <f t="shared" si="15"/>
        <v>0.12403783039951902</v>
      </c>
      <c r="G21">
        <f t="shared" si="3"/>
        <v>6</v>
      </c>
      <c r="H21" s="41">
        <f t="shared" si="4"/>
        <v>0.1231</v>
      </c>
      <c r="I21">
        <f t="shared" si="3"/>
        <v>6</v>
      </c>
      <c r="J21" s="186">
        <f t="shared" si="18"/>
        <v>0.12238576875000001</v>
      </c>
      <c r="K21">
        <f t="shared" si="5"/>
        <v>6</v>
      </c>
      <c r="L21" s="41">
        <f t="shared" si="6"/>
        <v>0.122</v>
      </c>
      <c r="M21">
        <f t="shared" si="5"/>
        <v>6</v>
      </c>
      <c r="N21" s="186">
        <f>IF(kWp&lt;=10,0.1079,IF(kWp&lt;=40,(10*0.1079+(kWp-10)*0.105)/kWp,IF(kWp&lt;=100,(10*0.1079+30*0.105+(kWp-40)*0.0825)/kWp,0)))</f>
        <v>0.1079</v>
      </c>
      <c r="O21">
        <f t="shared" si="7"/>
        <v>6</v>
      </c>
      <c r="P21" s="40">
        <f>IF(kWp&lt;=10,0.0917,IF(kWp&lt;=40,(10*0.0917+(kWp-10)*0.0891)/kWp,IF(kWp&lt;=100,(10*0.0917+30*0.0891+(kWp-40)*0.07)/kWp,0)))</f>
        <v>9.1700000000000004E-2</v>
      </c>
      <c r="Q21">
        <f t="shared" si="7"/>
        <v>6</v>
      </c>
      <c r="R21" s="40">
        <f>IF(kWp&lt;=10,0.0758,IF(kWp&lt;=40,(10*0.0758+(kWp-10)*0.0736)/kWp,IF(kWp&lt;=100,(10*0.0758+30*0.0736+(kWp-40)*0.0577)/kWp,0)))</f>
        <v>7.5800000000000006E-2</v>
      </c>
      <c r="S21">
        <f t="shared" si="8"/>
        <v>6</v>
      </c>
      <c r="T21" s="40">
        <f t="shared" si="12"/>
        <v>6.3968573517031196E-2</v>
      </c>
      <c r="U21">
        <f t="shared" si="8"/>
        <v>6</v>
      </c>
      <c r="V21" s="40">
        <f t="shared" si="13"/>
        <v>8.2000000000000003E-2</v>
      </c>
      <c r="W21" s="40"/>
      <c r="X21" s="215">
        <f t="shared" si="16"/>
        <v>0.98569570871261392</v>
      </c>
      <c r="Y21">
        <f t="shared" si="14"/>
        <v>6</v>
      </c>
      <c r="Z21" s="188">
        <v>0.25</v>
      </c>
      <c r="AA21">
        <f t="shared" si="9"/>
        <v>6</v>
      </c>
      <c r="AB21" s="188">
        <v>0.19</v>
      </c>
      <c r="AC21">
        <f t="shared" si="10"/>
        <v>6</v>
      </c>
      <c r="AD21" s="188">
        <v>0.1</v>
      </c>
      <c r="AF21" s="41"/>
      <c r="AH21" s="41"/>
    </row>
    <row r="22" spans="1:34" x14ac:dyDescent="0.2">
      <c r="A22">
        <f t="shared" si="11"/>
        <v>7</v>
      </c>
      <c r="B22" s="41">
        <f t="shared" si="17"/>
        <v>0.15076848938616885</v>
      </c>
      <c r="C22">
        <f t="shared" si="0"/>
        <v>7</v>
      </c>
      <c r="D22" s="40">
        <f t="shared" si="1"/>
        <v>0.1287944844380568</v>
      </c>
      <c r="E22">
        <f t="shared" si="2"/>
        <v>7</v>
      </c>
      <c r="F22" s="41">
        <f t="shared" si="15"/>
        <v>0.12372773582352023</v>
      </c>
      <c r="G22">
        <f t="shared" si="3"/>
        <v>7</v>
      </c>
      <c r="H22" s="41">
        <f t="shared" si="4"/>
        <v>0.1231</v>
      </c>
      <c r="I22">
        <f t="shared" si="3"/>
        <v>7</v>
      </c>
      <c r="J22" s="186">
        <f t="shared" si="18"/>
        <v>0.12207980432812501</v>
      </c>
      <c r="K22">
        <f t="shared" si="5"/>
        <v>7</v>
      </c>
      <c r="L22" s="41">
        <f t="shared" si="6"/>
        <v>0.122</v>
      </c>
      <c r="M22">
        <f t="shared" si="5"/>
        <v>7</v>
      </c>
      <c r="N22" s="186">
        <f>IF(kWp&lt;=10,0.1064,IF(kWp&lt;=40,(10*0.1064+(kWp-10)*0.1034)/kWp,IF(kWp&lt;=100,(10*0.1064+30*0.1034+(kWp-40)*0.0813)/kWp,0)))</f>
        <v>0.10639999999999999</v>
      </c>
      <c r="O22">
        <f t="shared" si="7"/>
        <v>7</v>
      </c>
      <c r="P22" s="40">
        <f>IF(kWp&lt;=10,0.0903,IF(kWp&lt;=40,(10*0.0903+(kWp-10)*0.0878)/kWp,IF(kWp&lt;=100,(10*0.0903+30*0.0878+(kWp-40)*0.0689)/kWp,0)))</f>
        <v>9.0300000000000005E-2</v>
      </c>
      <c r="Q22">
        <f t="shared" si="7"/>
        <v>7</v>
      </c>
      <c r="R22" s="40">
        <f>IF(kWp&lt;=10,0.0747,IF(kWp&lt;=40,(10*0.0747+(kWp-10)*0.0725)/kWp,IF(kWp&lt;=100,(10*0.0747+30*0.0725+(kWp-40)*0.0568)/kWp,0)))</f>
        <v>7.4700000000000003E-2</v>
      </c>
      <c r="S22">
        <f t="shared" si="8"/>
        <v>7</v>
      </c>
      <c r="T22" s="40">
        <f t="shared" si="12"/>
        <v>6.3073013487792762E-2</v>
      </c>
      <c r="U22">
        <f t="shared" si="8"/>
        <v>7</v>
      </c>
      <c r="V22" s="40">
        <f t="shared" si="13"/>
        <v>8.2000000000000003E-2</v>
      </c>
      <c r="W22" s="40"/>
      <c r="X22" s="215">
        <f t="shared" si="16"/>
        <v>0.98548812664907648</v>
      </c>
      <c r="Y22">
        <f t="shared" si="14"/>
        <v>7</v>
      </c>
      <c r="Z22" s="188">
        <v>0.22</v>
      </c>
      <c r="AA22">
        <f t="shared" si="9"/>
        <v>7</v>
      </c>
      <c r="AB22" s="188">
        <v>0.16</v>
      </c>
      <c r="AC22">
        <f t="shared" si="10"/>
        <v>7</v>
      </c>
      <c r="AD22" s="188">
        <v>0.1</v>
      </c>
      <c r="AF22" s="41"/>
      <c r="AH22" s="41"/>
    </row>
    <row r="23" spans="1:34" x14ac:dyDescent="0.2">
      <c r="A23">
        <f t="shared" si="11"/>
        <v>8</v>
      </c>
      <c r="B23" s="41">
        <f t="shared" si="17"/>
        <v>0.14805465657721781</v>
      </c>
      <c r="C23">
        <f t="shared" si="0"/>
        <v>8</v>
      </c>
      <c r="D23" s="42">
        <f>D22*0.99+IF(kWp&lt;=10,0,(kWp-10)/kWp*0.003)</f>
        <v>0.12750653959367622</v>
      </c>
      <c r="E23">
        <f t="shared" si="2"/>
        <v>8</v>
      </c>
      <c r="F23" s="41">
        <f t="shared" si="15"/>
        <v>0.12341841648396143</v>
      </c>
      <c r="G23">
        <f t="shared" si="3"/>
        <v>8</v>
      </c>
      <c r="H23" s="41">
        <f t="shared" si="4"/>
        <v>0.1231</v>
      </c>
      <c r="I23">
        <f t="shared" si="3"/>
        <v>8</v>
      </c>
      <c r="J23" s="186">
        <f t="shared" si="18"/>
        <v>0.1217746048173047</v>
      </c>
      <c r="K23">
        <f t="shared" si="5"/>
        <v>8</v>
      </c>
      <c r="L23" s="186">
        <f>IF(kWp&lt;=10,0.1208,IF(kWp&lt;=40,(10*0.1208+(kWp-10)*0.1174)/kWp,IF(kWp&lt;=100,(10*0.1208+30*0.1174+(kWp-40)*0.105)/kWp,0)))</f>
        <v>0.1208</v>
      </c>
      <c r="M23">
        <f t="shared" si="5"/>
        <v>8</v>
      </c>
      <c r="N23" s="186">
        <f>IF(kWp&lt;=10,0.1048,IF(kWp&lt;=40,(10*0.1048+(kWp-10)*0.1019)/kWp,IF(kWp&lt;=100,(10*0.1048+30*0.1019+(kWp-40)*0.0801)/kWp,0)))</f>
        <v>0.1048</v>
      </c>
      <c r="O23">
        <f t="shared" si="7"/>
        <v>8</v>
      </c>
      <c r="P23" s="41">
        <f>P22*0.985</f>
        <v>8.8945500000000011E-2</v>
      </c>
      <c r="Q23">
        <f t="shared" si="7"/>
        <v>8</v>
      </c>
      <c r="R23" s="41">
        <f>R22*0.986</f>
        <v>7.3654200000000003E-2</v>
      </c>
      <c r="S23">
        <f t="shared" si="8"/>
        <v>8</v>
      </c>
      <c r="T23" s="40">
        <f>IF(kWp&lt;=10,0.082,IF(kWp&lt;=40,(10*0.082+(kWp-10)*0.071)/kWp,IF(kWp&lt;=750,(10*0.082+30*0.071+(kWp-40)*0.058)/kWp)))</f>
        <v>8.2000000000000003E-2</v>
      </c>
      <c r="U23">
        <f t="shared" si="8"/>
        <v>8</v>
      </c>
      <c r="V23" s="40">
        <f t="shared" si="13"/>
        <v>8.2000000000000003E-2</v>
      </c>
      <c r="W23" s="41"/>
      <c r="X23" s="215">
        <f t="shared" si="16"/>
        <v>0.98599999999999999</v>
      </c>
      <c r="Y23">
        <f t="shared" si="14"/>
        <v>8</v>
      </c>
      <c r="Z23" s="188">
        <v>0.22</v>
      </c>
      <c r="AA23">
        <f t="shared" si="9"/>
        <v>8</v>
      </c>
      <c r="AB23" s="188">
        <v>0.16</v>
      </c>
      <c r="AC23">
        <f t="shared" si="10"/>
        <v>8</v>
      </c>
      <c r="AD23" s="188">
        <v>0.1</v>
      </c>
      <c r="AF23" s="41"/>
      <c r="AH23" s="41"/>
    </row>
    <row r="24" spans="1:34" x14ac:dyDescent="0.2">
      <c r="A24">
        <f t="shared" si="11"/>
        <v>9</v>
      </c>
      <c r="B24" s="41">
        <f t="shared" si="17"/>
        <v>0.14538967275882789</v>
      </c>
      <c r="C24">
        <f t="shared" si="0"/>
        <v>9</v>
      </c>
      <c r="D24" s="41">
        <f>D23*0.995</f>
        <v>0.12686900689570785</v>
      </c>
      <c r="E24">
        <f t="shared" si="2"/>
        <v>9</v>
      </c>
      <c r="F24" s="41">
        <f t="shared" si="15"/>
        <v>0.12310987044275153</v>
      </c>
      <c r="G24">
        <f t="shared" si="3"/>
        <v>9</v>
      </c>
      <c r="H24" s="41">
        <f t="shared" si="4"/>
        <v>0.1231</v>
      </c>
      <c r="I24">
        <f t="shared" si="3"/>
        <v>9</v>
      </c>
      <c r="J24" s="186">
        <f t="shared" si="18"/>
        <v>0.12147016830526144</v>
      </c>
      <c r="K24">
        <f t="shared" si="5"/>
        <v>9</v>
      </c>
      <c r="L24" s="186">
        <f>IF(kWp&lt;=10,0.1195,IF(kWp&lt;=40,(10*0.1195+(kWp-10)*0.1162)/kWp,IF(kWp&lt;=100,(10*0.1195+30*0.1162+(kWp-40)*0.1039)/kWp,0)))</f>
        <v>0.1195</v>
      </c>
      <c r="M24">
        <f t="shared" si="5"/>
        <v>9</v>
      </c>
      <c r="N24" s="186">
        <f>IF(kWp&lt;=10,0.1033,IF(kWp&lt;=40,(10*0.1033+(kWp-10)*0.1004)/kWp,IF(kWp&lt;=100,(10*0.1033+30*0.1004+(kWp-40)*0.0789)/kWp,0)))</f>
        <v>0.1033</v>
      </c>
      <c r="O24">
        <f t="shared" si="7"/>
        <v>9</v>
      </c>
      <c r="P24" s="41">
        <f>P23*0.985</f>
        <v>8.7611317500000008E-2</v>
      </c>
      <c r="Q24">
        <f t="shared" si="7"/>
        <v>9</v>
      </c>
      <c r="R24" s="41">
        <f>R23*0.986</f>
        <v>7.2623041200000002E-2</v>
      </c>
      <c r="S24">
        <f t="shared" si="8"/>
        <v>9</v>
      </c>
      <c r="T24" s="40">
        <f>T23</f>
        <v>8.2000000000000003E-2</v>
      </c>
      <c r="U24">
        <f t="shared" si="8"/>
        <v>9</v>
      </c>
      <c r="V24" s="40">
        <f t="shared" si="13"/>
        <v>8.2000000000000003E-2</v>
      </c>
      <c r="W24" s="41"/>
      <c r="X24" s="215">
        <f t="shared" si="16"/>
        <v>0.98599999999999999</v>
      </c>
      <c r="Y24">
        <f t="shared" si="14"/>
        <v>9</v>
      </c>
      <c r="Z24" s="188">
        <v>0.22</v>
      </c>
      <c r="AA24">
        <f t="shared" si="9"/>
        <v>9</v>
      </c>
      <c r="AB24" s="188">
        <v>0.16</v>
      </c>
      <c r="AC24">
        <f t="shared" si="10"/>
        <v>9</v>
      </c>
      <c r="AD24" s="188">
        <v>0.1</v>
      </c>
      <c r="AF24" s="41"/>
      <c r="AH24" s="41"/>
    </row>
    <row r="25" spans="1:34" x14ac:dyDescent="0.2">
      <c r="A25">
        <f t="shared" si="11"/>
        <v>10</v>
      </c>
      <c r="B25" s="41">
        <f t="shared" si="17"/>
        <v>0.14277265864916899</v>
      </c>
      <c r="C25">
        <f t="shared" si="0"/>
        <v>10</v>
      </c>
      <c r="D25" s="150">
        <f>D24*0.9975</f>
        <v>0.12655183437846859</v>
      </c>
      <c r="E25">
        <f t="shared" si="2"/>
        <v>10</v>
      </c>
      <c r="F25" s="41">
        <f>F24</f>
        <v>0.12310987044275153</v>
      </c>
      <c r="G25">
        <f t="shared" si="3"/>
        <v>10</v>
      </c>
      <c r="H25" s="41">
        <f t="shared" si="4"/>
        <v>0.1231</v>
      </c>
      <c r="I25">
        <f t="shared" si="3"/>
        <v>10</v>
      </c>
      <c r="J25" s="186">
        <f t="shared" si="18"/>
        <v>0.12116649288449829</v>
      </c>
      <c r="K25">
        <f t="shared" si="5"/>
        <v>10</v>
      </c>
      <c r="L25" s="186">
        <f>IF(kWp&lt;=10,0.1183,IF(kWp&lt;=40,(10*0.1183+(kWp-10)*0.115)/kWp,IF(kWp&lt;=100,(10*0.1183+30*0.115+(kWp-40)*0.1028)/kWp,0)))</f>
        <v>0.1183</v>
      </c>
      <c r="M25">
        <f t="shared" si="5"/>
        <v>10</v>
      </c>
      <c r="N25" s="186">
        <f>IF(kWp&lt;=10,0.1018,IF(kWp&lt;=40,(10*0.1018+(kWp-10)*0.099)/kWp,IF(kWp&lt;=100,(10*0.1018+30*0.099+(kWp-40)*0.0778)/kWp,0)))</f>
        <v>0.1018</v>
      </c>
      <c r="O25">
        <f t="shared" si="7"/>
        <v>10</v>
      </c>
      <c r="P25" s="41">
        <f>P24*0.985</f>
        <v>8.629714773750001E-2</v>
      </c>
      <c r="Q25">
        <f t="shared" si="7"/>
        <v>10</v>
      </c>
      <c r="R25" s="41">
        <f>R24*0.986</f>
        <v>7.1606318623200008E-2</v>
      </c>
      <c r="S25">
        <f t="shared" si="8"/>
        <v>10</v>
      </c>
      <c r="T25" s="40">
        <f t="shared" ref="T25:T27" si="19">T24</f>
        <v>8.2000000000000003E-2</v>
      </c>
      <c r="U25">
        <f t="shared" si="8"/>
        <v>10</v>
      </c>
      <c r="V25" s="40">
        <f t="shared" si="13"/>
        <v>8.2000000000000003E-2</v>
      </c>
      <c r="W25" s="41"/>
      <c r="X25" s="215">
        <f t="shared" si="16"/>
        <v>0.9860000000000001</v>
      </c>
      <c r="Y25">
        <f t="shared" si="14"/>
        <v>10</v>
      </c>
      <c r="Z25" s="188">
        <v>0.22</v>
      </c>
      <c r="AA25">
        <f t="shared" si="9"/>
        <v>10</v>
      </c>
      <c r="AB25" s="188">
        <v>0.13</v>
      </c>
      <c r="AC25">
        <f t="shared" si="10"/>
        <v>10</v>
      </c>
      <c r="AD25" s="188">
        <v>0.1</v>
      </c>
      <c r="AF25" s="41"/>
      <c r="AH25" s="41"/>
    </row>
    <row r="26" spans="1:34" x14ac:dyDescent="0.2">
      <c r="A26">
        <f t="shared" si="11"/>
        <v>11</v>
      </c>
      <c r="B26" s="42">
        <f>B25*0.986</f>
        <v>0.14077384142808064</v>
      </c>
      <c r="C26">
        <f t="shared" si="0"/>
        <v>11</v>
      </c>
      <c r="D26" s="41">
        <f>D25*0.9975</f>
        <v>0.12623545479252243</v>
      </c>
      <c r="E26">
        <f t="shared" si="2"/>
        <v>11</v>
      </c>
      <c r="F26" s="41">
        <f>F25</f>
        <v>0.12310987044275153</v>
      </c>
      <c r="G26">
        <f t="shared" si="3"/>
        <v>11</v>
      </c>
      <c r="H26" s="41">
        <f t="shared" si="4"/>
        <v>0.1231</v>
      </c>
      <c r="I26">
        <f t="shared" si="3"/>
        <v>11</v>
      </c>
      <c r="J26" s="186">
        <f t="shared" si="18"/>
        <v>0.12086357665228706</v>
      </c>
      <c r="K26">
        <f t="shared" si="5"/>
        <v>11</v>
      </c>
      <c r="L26" s="186">
        <f>IF(kWp&lt;=10,0.1171,IF(kWp&lt;=40,(10*0.1171+(kWp-10)*0.1138)/kWp,IF(kWp&lt;=100,(10*0.1171+30*0.1138+(kWp-40)*0.1017)/kWp,0)))</f>
        <v>0.1171</v>
      </c>
      <c r="M26">
        <f t="shared" si="5"/>
        <v>11</v>
      </c>
      <c r="N26" s="41">
        <f>N25*0.986</f>
        <v>0.1003748</v>
      </c>
      <c r="O26">
        <f t="shared" si="7"/>
        <v>11</v>
      </c>
      <c r="P26" s="41">
        <f>P25*0.982</f>
        <v>8.4743799078225004E-2</v>
      </c>
      <c r="Q26">
        <f t="shared" si="7"/>
        <v>11</v>
      </c>
      <c r="R26" s="41">
        <f>R25*0.986</f>
        <v>7.0603830162475206E-2</v>
      </c>
      <c r="S26">
        <f t="shared" si="8"/>
        <v>11</v>
      </c>
      <c r="T26" s="40">
        <f t="shared" si="19"/>
        <v>8.2000000000000003E-2</v>
      </c>
      <c r="U26">
        <f t="shared" si="8"/>
        <v>11</v>
      </c>
      <c r="V26" s="40">
        <f t="shared" si="13"/>
        <v>8.2000000000000003E-2</v>
      </c>
      <c r="W26" s="41"/>
      <c r="X26" s="215">
        <f t="shared" si="16"/>
        <v>0.98599999999999999</v>
      </c>
      <c r="Y26">
        <f t="shared" si="14"/>
        <v>11</v>
      </c>
      <c r="Z26" s="188">
        <v>0.22</v>
      </c>
      <c r="AA26">
        <f t="shared" si="9"/>
        <v>11</v>
      </c>
      <c r="AB26" s="188">
        <v>0.13</v>
      </c>
      <c r="AC26">
        <f t="shared" si="10"/>
        <v>11</v>
      </c>
      <c r="AD26" s="188">
        <v>0.1</v>
      </c>
      <c r="AF26" s="41"/>
      <c r="AH26" s="41"/>
    </row>
    <row r="27" spans="1:34" x14ac:dyDescent="0.2">
      <c r="A27">
        <f t="shared" si="11"/>
        <v>12</v>
      </c>
      <c r="B27" s="42">
        <f>B26*0.986</f>
        <v>0.13880300764808751</v>
      </c>
      <c r="C27">
        <f t="shared" si="0"/>
        <v>12</v>
      </c>
      <c r="D27" s="41">
        <f>D26*0.9975</f>
        <v>0.12591986615554113</v>
      </c>
      <c r="E27">
        <f t="shared" si="2"/>
        <v>12</v>
      </c>
      <c r="F27" s="41">
        <f>F26</f>
        <v>0.12310987044275153</v>
      </c>
      <c r="G27">
        <f t="shared" si="3"/>
        <v>12</v>
      </c>
      <c r="H27" s="41">
        <f t="shared" si="4"/>
        <v>0.1231</v>
      </c>
      <c r="I27">
        <f t="shared" si="3"/>
        <v>12</v>
      </c>
      <c r="J27" s="186">
        <f t="shared" si="18"/>
        <v>0.12056141771065634</v>
      </c>
      <c r="K27">
        <f t="shared" si="5"/>
        <v>12</v>
      </c>
      <c r="L27" s="186">
        <f>IF(kWp&lt;=10,0.1159,IF(kWp&lt;=40,(10*0.1159+(kWp-10)*0.1127)/kWp,IF(kWp&lt;=100,(10*0.1159+30*0.1127+(kWp-40)*0.1007)/kWp,0)))</f>
        <v>0.1159</v>
      </c>
      <c r="M27">
        <f t="shared" si="5"/>
        <v>12</v>
      </c>
      <c r="N27" s="41">
        <f>N26*0.986</f>
        <v>9.8969552799999999E-2</v>
      </c>
      <c r="O27">
        <f t="shared" si="7"/>
        <v>12</v>
      </c>
      <c r="P27" s="41">
        <f>P26*0.982</f>
        <v>8.3218410694816947E-2</v>
      </c>
      <c r="Q27">
        <f t="shared" si="7"/>
        <v>12</v>
      </c>
      <c r="R27" s="41">
        <f>R26*0.986</f>
        <v>6.9615376540200558E-2</v>
      </c>
      <c r="S27">
        <f t="shared" si="8"/>
        <v>12</v>
      </c>
      <c r="T27" s="40">
        <f t="shared" si="19"/>
        <v>8.2000000000000003E-2</v>
      </c>
      <c r="U27">
        <f t="shared" si="8"/>
        <v>12</v>
      </c>
      <c r="V27" s="40">
        <f t="shared" si="13"/>
        <v>8.2000000000000003E-2</v>
      </c>
      <c r="W27" s="41"/>
      <c r="X27" s="215">
        <f t="shared" si="16"/>
        <v>0.9860000000000001</v>
      </c>
      <c r="Y27">
        <f t="shared" si="14"/>
        <v>12</v>
      </c>
      <c r="Z27" s="188">
        <v>0.22</v>
      </c>
      <c r="AA27">
        <f t="shared" si="9"/>
        <v>12</v>
      </c>
      <c r="AB27" s="188">
        <v>0.13</v>
      </c>
      <c r="AC27">
        <f t="shared" si="10"/>
        <v>12</v>
      </c>
      <c r="AD27" s="188">
        <v>0.1</v>
      </c>
      <c r="AF27" s="41"/>
      <c r="AH27" s="41"/>
    </row>
  </sheetData>
  <sheetProtection sheet="1" objects="1" scenarios="1"/>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0"/>
  <sheetViews>
    <sheetView workbookViewId="0">
      <selection activeCell="D24" sqref="D24"/>
    </sheetView>
  </sheetViews>
  <sheetFormatPr baseColWidth="10" defaultRowHeight="12.75" x14ac:dyDescent="0.2"/>
  <cols>
    <col min="3" max="3" width="17" customWidth="1"/>
    <col min="4" max="4" width="80" customWidth="1"/>
  </cols>
  <sheetData>
    <row r="1" spans="1:13" x14ac:dyDescent="0.2">
      <c r="A1" t="s">
        <v>140</v>
      </c>
      <c r="B1" t="s">
        <v>144</v>
      </c>
      <c r="C1" t="s">
        <v>143</v>
      </c>
      <c r="D1" t="s">
        <v>141</v>
      </c>
      <c r="M1" t="s">
        <v>142</v>
      </c>
    </row>
    <row r="2" spans="1:13" x14ac:dyDescent="0.2">
      <c r="A2" s="205">
        <v>44072</v>
      </c>
      <c r="B2" t="s">
        <v>145</v>
      </c>
      <c r="C2" t="s">
        <v>146</v>
      </c>
      <c r="D2" t="s">
        <v>148</v>
      </c>
      <c r="M2" t="s">
        <v>147</v>
      </c>
    </row>
    <row r="3" spans="1:13" x14ac:dyDescent="0.2">
      <c r="A3" s="205">
        <f>A2</f>
        <v>44072</v>
      </c>
      <c r="B3" t="s">
        <v>145</v>
      </c>
      <c r="C3" t="s">
        <v>151</v>
      </c>
      <c r="D3" t="s">
        <v>149</v>
      </c>
      <c r="M3" t="s">
        <v>150</v>
      </c>
    </row>
    <row r="4" spans="1:13" x14ac:dyDescent="0.2">
      <c r="A4" s="205">
        <f>A3</f>
        <v>44072</v>
      </c>
      <c r="B4" t="s">
        <v>145</v>
      </c>
      <c r="C4" t="s">
        <v>153</v>
      </c>
      <c r="D4" t="s">
        <v>157</v>
      </c>
      <c r="M4" t="s">
        <v>152</v>
      </c>
    </row>
    <row r="5" spans="1:13" x14ac:dyDescent="0.2">
      <c r="A5" s="205">
        <v>44138</v>
      </c>
      <c r="B5" t="s">
        <v>70</v>
      </c>
      <c r="C5" t="s">
        <v>156</v>
      </c>
      <c r="D5" t="s">
        <v>155</v>
      </c>
    </row>
    <row r="6" spans="1:13" x14ac:dyDescent="0.2">
      <c r="A6" s="205">
        <v>44139</v>
      </c>
      <c r="B6" t="s">
        <v>158</v>
      </c>
      <c r="C6" t="s">
        <v>160</v>
      </c>
      <c r="D6" t="s">
        <v>159</v>
      </c>
    </row>
    <row r="7" spans="1:13" x14ac:dyDescent="0.2">
      <c r="A7" s="205">
        <v>44199</v>
      </c>
      <c r="B7" t="s">
        <v>158</v>
      </c>
      <c r="C7" t="s">
        <v>163</v>
      </c>
      <c r="D7" t="s">
        <v>162</v>
      </c>
    </row>
    <row r="8" spans="1:13" x14ac:dyDescent="0.2">
      <c r="A8" s="205">
        <v>44199</v>
      </c>
      <c r="B8" t="s">
        <v>145</v>
      </c>
      <c r="C8" t="s">
        <v>164</v>
      </c>
      <c r="D8" t="s">
        <v>166</v>
      </c>
    </row>
    <row r="9" spans="1:13" x14ac:dyDescent="0.2">
      <c r="A9" s="205">
        <v>44199</v>
      </c>
      <c r="B9" t="s">
        <v>145</v>
      </c>
      <c r="C9" t="s">
        <v>165</v>
      </c>
      <c r="D9" t="s">
        <v>171</v>
      </c>
    </row>
    <row r="10" spans="1:13" x14ac:dyDescent="0.2">
      <c r="A10" s="205">
        <v>44285</v>
      </c>
      <c r="B10" t="s">
        <v>145</v>
      </c>
      <c r="C10" t="s">
        <v>170</v>
      </c>
      <c r="D10" s="205" t="s">
        <v>168</v>
      </c>
      <c r="M10" t="s">
        <v>169</v>
      </c>
    </row>
    <row r="11" spans="1:13" x14ac:dyDescent="0.2">
      <c r="A11" s="205">
        <v>44294</v>
      </c>
      <c r="B11" t="s">
        <v>145</v>
      </c>
      <c r="C11" t="s">
        <v>172</v>
      </c>
      <c r="D11" t="s">
        <v>173</v>
      </c>
    </row>
    <row r="12" spans="1:13" x14ac:dyDescent="0.2">
      <c r="A12" s="205">
        <v>44367</v>
      </c>
      <c r="B12" s="12" t="s">
        <v>158</v>
      </c>
      <c r="C12" s="12" t="s">
        <v>176</v>
      </c>
      <c r="D12" s="12" t="s">
        <v>177</v>
      </c>
    </row>
    <row r="13" spans="1:13" x14ac:dyDescent="0.2">
      <c r="A13" s="205">
        <v>44367</v>
      </c>
      <c r="B13" s="12" t="s">
        <v>145</v>
      </c>
      <c r="C13" s="12" t="s">
        <v>178</v>
      </c>
      <c r="D13" s="12" t="s">
        <v>179</v>
      </c>
    </row>
    <row r="14" spans="1:13" x14ac:dyDescent="0.2">
      <c r="A14" s="205">
        <v>44460</v>
      </c>
      <c r="B14" s="12" t="s">
        <v>158</v>
      </c>
      <c r="C14" s="12" t="s">
        <v>182</v>
      </c>
      <c r="D14" s="12" t="s">
        <v>181</v>
      </c>
    </row>
    <row r="15" spans="1:13" x14ac:dyDescent="0.2">
      <c r="A15" s="205">
        <v>44460</v>
      </c>
      <c r="B15" s="12" t="s">
        <v>158</v>
      </c>
      <c r="C15" s="12" t="s">
        <v>183</v>
      </c>
      <c r="D15" s="12" t="s">
        <v>185</v>
      </c>
    </row>
    <row r="16" spans="1:13" x14ac:dyDescent="0.2">
      <c r="A16" s="205">
        <f>A15</f>
        <v>44460</v>
      </c>
      <c r="B16" s="12" t="s">
        <v>158</v>
      </c>
      <c r="C16" s="12" t="s">
        <v>184</v>
      </c>
      <c r="D16" s="12" t="s">
        <v>97</v>
      </c>
    </row>
    <row r="17" spans="1:4" x14ac:dyDescent="0.2">
      <c r="A17" s="205">
        <v>44568</v>
      </c>
      <c r="B17" s="12" t="s">
        <v>145</v>
      </c>
      <c r="C17" s="12" t="s">
        <v>187</v>
      </c>
      <c r="D17" s="12" t="s">
        <v>188</v>
      </c>
    </row>
    <row r="18" spans="1:4" x14ac:dyDescent="0.2">
      <c r="A18" s="205">
        <v>44854</v>
      </c>
      <c r="B18" s="12" t="s">
        <v>145</v>
      </c>
      <c r="C18" s="12" t="s">
        <v>198</v>
      </c>
      <c r="D18" s="12" t="s">
        <v>199</v>
      </c>
    </row>
    <row r="19" spans="1:4" x14ac:dyDescent="0.2">
      <c r="A19" s="205">
        <v>44978</v>
      </c>
      <c r="B19" s="12" t="s">
        <v>158</v>
      </c>
      <c r="C19" s="12" t="s">
        <v>203</v>
      </c>
      <c r="D19" s="82" t="s">
        <v>204</v>
      </c>
    </row>
    <row r="20" spans="1:4" x14ac:dyDescent="0.2">
      <c r="A20" s="205"/>
      <c r="B20" s="12"/>
      <c r="C20" s="12"/>
    </row>
  </sheetData>
  <sheetProtection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7 p l + R y z Z N z e o A A A A + Q A A A B I A H A B D b 2 5 m a W c v U G F j a 2 F n Z S 5 4 b W w g o h g A K K A U A A A A A A A A A A A A A A A A A A A A A A A A A A A A h Y 9 N C s I w G E S v U r J v k v 6 J l K / p Q t 1 Z E A R x G 9 L Y B t t U m t T 0 b i 4 8 k l e w o J X u X M 7 w B t 6 8 H k / I x 7 b x 7 r I 3 q t M Z C j B F n t S i K 5 W u M j T Y i 7 9 G O Y M D F 1 d e S W + C t U l H o z J U W 3 t L C X H O Y R f h r q 9 I S G l A z s X + K G r Z c l 9 p Y 7 k W E v 1 W 5 f 8 V Y n D 6 y L A Q h z G O 6 S r B S Z Q E Q O Y e C q U X z K S M K Z B F C Z u h s U M v W S n 9 7 Q 7 I H I F 8 b 7 A 3 U E s D B B Q A A g A I A O 6 Z f k 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m X 5 H K I p H u A 4 A A A A R A A A A E w A c A E Z v c m 1 1 b G F z L 1 N l Y 3 R p b 2 4 x L m 0 g o h g A K K A U A A A A A A A A A A A A A A A A A A A A A A A A A A A A K 0 5 N L s n M z 1 M I h t C G 1 g B Q S w E C L Q A U A A I A C A D u m X 5 H L N k 3 N 6 g A A A D 5 A A A A E g A A A A A A A A A A A A A A A A A A A A A A Q 2 9 u Z m l n L 1 B h Y 2 t h Z 2 U u e G 1 s U E s B A i 0 A F A A C A A g A 7 p l + R w / K 6 a u k A A A A 6 Q A A A B M A A A A A A A A A A A A A A A A A 9 A A A A F t D b 2 5 0 Z W 5 0 X 1 R 5 c G V z X S 5 4 b W x Q S w E C L Q A U A A I A C A D u m X 5 H 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I D d o a n s 9 K 1 J s l z y z n G i V 1 0 A A A A A A g A A A A A A E G Y A A A A B A A A g A A A A H D B V s v J G F q L N 1 F K O j j b K x S K 7 f j Y 7 s B f c n P v / 9 b V g 6 o c A A A A A D o A A A A A C A A A g A A A A U E U B t c Z m c N 1 B U H M b 2 W u U G Z G 4 l V O y 8 9 0 F + T q i E N n F x t p Q A A A A R n y b s R F v t 9 p R W U i f x R T k q 7 F 2 + K R n b o I / + Z z Z 2 R N v Z z D 2 Z e E 9 Q e y n a 1 6 v X 1 T 2 d v J I j 1 I W S g K s 4 v z l 1 m G W s z j b T T x D Q c Z B G T Q y n o O g l 4 t e 3 K N A A A A A P E 5 B t u l 4 7 s n r f 2 H j d H f x 6 5 i C k g b 2 7 j V l x 7 r 7 l P 2 o Z 7 e t C 5 e k T W x o K X u z h r P p a j L H k d b + B X T p g V P 8 k R u w J f p r v g = = < / D a t a M a s h u p > 
</file>

<file path=customXml/itemProps1.xml><?xml version="1.0" encoding="utf-8"?>
<ds:datastoreItem xmlns:ds="http://schemas.openxmlformats.org/officeDocument/2006/customXml" ds:itemID="{760A3831-F4EC-47D1-B096-DE494AF72E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6</vt:i4>
      </vt:variant>
      <vt:variant>
        <vt:lpstr>Diagramme</vt:lpstr>
      </vt:variant>
      <vt:variant>
        <vt:i4>2</vt:i4>
      </vt:variant>
      <vt:variant>
        <vt:lpstr>Benannte Bereiche</vt:lpstr>
      </vt:variant>
      <vt:variant>
        <vt:i4>79</vt:i4>
      </vt:variant>
    </vt:vector>
  </HeadingPairs>
  <TitlesOfParts>
    <vt:vector size="87" baseType="lpstr">
      <vt:lpstr>Info</vt:lpstr>
      <vt:lpstr>Parameter</vt:lpstr>
      <vt:lpstr>Berechnung</vt:lpstr>
      <vt:lpstr>Solarertrag</vt:lpstr>
      <vt:lpstr>Vergütung</vt:lpstr>
      <vt:lpstr>Änderungen</vt:lpstr>
      <vt:lpstr>Jahresergebnis</vt:lpstr>
      <vt:lpstr>Kapitalwert</vt:lpstr>
      <vt:lpstr>Anlagenleistung</vt:lpstr>
      <vt:lpstr>Anlagenpreis</vt:lpstr>
      <vt:lpstr>AnlagenpreisPV</vt:lpstr>
      <vt:lpstr>Auszahlung1</vt:lpstr>
      <vt:lpstr>BatteriespeicherJN</vt:lpstr>
      <vt:lpstr>BatterieVerluste</vt:lpstr>
      <vt:lpstr>Bereitstellung1</vt:lpstr>
      <vt:lpstr>Dachmiete</vt:lpstr>
      <vt:lpstr>Direktnutzung</vt:lpstr>
      <vt:lpstr>Direktnutzung_Batteriespeicher</vt:lpstr>
      <vt:lpstr>Direktnutzung_Speicher</vt:lpstr>
      <vt:lpstr>Direktvermarktung</vt:lpstr>
      <vt:lpstr>Berechnung!Druckbereich</vt:lpstr>
      <vt:lpstr>Parameter!Druckbereich</vt:lpstr>
      <vt:lpstr>EEG_Umlage_Anteil</vt:lpstr>
      <vt:lpstr>EEG_Vergütung</vt:lpstr>
      <vt:lpstr>eegSatz2013</vt:lpstr>
      <vt:lpstr>eegSatz2014</vt:lpstr>
      <vt:lpstr>eegSatz2015</vt:lpstr>
      <vt:lpstr>EEGSatz2016</vt:lpstr>
      <vt:lpstr>eegSatz2017</vt:lpstr>
      <vt:lpstr>eegSatz2018</vt:lpstr>
      <vt:lpstr>EEGSatz2019</vt:lpstr>
      <vt:lpstr>eegSatz2020</vt:lpstr>
      <vt:lpstr>eegUmlage</vt:lpstr>
      <vt:lpstr>eegUmlageAnteil</vt:lpstr>
      <vt:lpstr>EigenkapitalZuAnfang</vt:lpstr>
      <vt:lpstr>Eigennutzung</vt:lpstr>
      <vt:lpstr>Eigennutzung_brutto</vt:lpstr>
      <vt:lpstr>Eigennutzung_netto</vt:lpstr>
      <vt:lpstr>EigennutzungSpeicher</vt:lpstr>
      <vt:lpstr>Ertragsminderung</vt:lpstr>
      <vt:lpstr>Gewerbe</vt:lpstr>
      <vt:lpstr>Grundgebühr</vt:lpstr>
      <vt:lpstr>IBNJahr</vt:lpstr>
      <vt:lpstr>IBNMonat</vt:lpstr>
      <vt:lpstr>Inflationsrate</vt:lpstr>
      <vt:lpstr>InternerZinsfussQ</vt:lpstr>
      <vt:lpstr>Investitionsabzug</vt:lpstr>
      <vt:lpstr>Kapitalwert</vt:lpstr>
      <vt:lpstr>Kleinunternehmer</vt:lpstr>
      <vt:lpstr>Kredit1</vt:lpstr>
      <vt:lpstr>Kredit2</vt:lpstr>
      <vt:lpstr>KU_Umstellung</vt:lpstr>
      <vt:lpstr>KUR</vt:lpstr>
      <vt:lpstr>kWp</vt:lpstr>
      <vt:lpstr>Ladeverluste</vt:lpstr>
      <vt:lpstr>Laufzeit1</vt:lpstr>
      <vt:lpstr>Laufzeit2</vt:lpstr>
      <vt:lpstr>Leistung</vt:lpstr>
      <vt:lpstr>LfdKosten</vt:lpstr>
      <vt:lpstr>MwSt</vt:lpstr>
      <vt:lpstr>MwSt_Satz</vt:lpstr>
      <vt:lpstr>ProgVersion</vt:lpstr>
      <vt:lpstr>Solarertrag1</vt:lpstr>
      <vt:lpstr>Sonderabschreibung</vt:lpstr>
      <vt:lpstr>Speicherdegradation</vt:lpstr>
      <vt:lpstr>Steuerbefreiung</vt:lpstr>
      <vt:lpstr>Steuersatz1</vt:lpstr>
      <vt:lpstr>Steuersatz2</vt:lpstr>
      <vt:lpstr>StromerlösDirektvermarktung</vt:lpstr>
      <vt:lpstr>Stromertrag</vt:lpstr>
      <vt:lpstr>StrompreisNetto</vt:lpstr>
      <vt:lpstr>Strompreissteigerung</vt:lpstr>
      <vt:lpstr>Stromverbrauch</vt:lpstr>
      <vt:lpstr>Tilgungsfrei1</vt:lpstr>
      <vt:lpstr>Umstellung_KUR</vt:lpstr>
      <vt:lpstr>Vergütung2018</vt:lpstr>
      <vt:lpstr>Volleinspeisung</vt:lpstr>
      <vt:lpstr>Vorlaufkosten</vt:lpstr>
      <vt:lpstr>Zinsbindung1</vt:lpstr>
      <vt:lpstr>Zinssatz1</vt:lpstr>
      <vt:lpstr>Zinssatz1NachZinsbindung</vt:lpstr>
      <vt:lpstr>Zinssatz2</vt:lpstr>
      <vt:lpstr>ZinssatzBarwert</vt:lpstr>
      <vt:lpstr>ZinssatzWiederanlage</vt:lpstr>
      <vt:lpstr>ZusatzkostenBatterie</vt:lpstr>
      <vt:lpstr>Zuschuss_PV_Anlage</vt:lpstr>
      <vt:lpstr>ZuschussBatterie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 Körblein</dc:creator>
  <cp:lastModifiedBy>Alfred Körblein</cp:lastModifiedBy>
  <cp:lastPrinted>2016-05-25T14:37:50Z</cp:lastPrinted>
  <dcterms:created xsi:type="dcterms:W3CDTF">1999-10-30T15:36:17Z</dcterms:created>
  <dcterms:modified xsi:type="dcterms:W3CDTF">2023-03-29T14:48:41Z</dcterms:modified>
</cp:coreProperties>
</file>